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bmckenney\Downloads\"/>
    </mc:Choice>
  </mc:AlternateContent>
  <xr:revisionPtr revIDLastSave="0" documentId="8_{55835354-F447-4158-AB9A-8311FFA2B247}" xr6:coauthVersionLast="47" xr6:coauthVersionMax="47" xr10:uidLastSave="{00000000-0000-0000-0000-000000000000}"/>
  <bookViews>
    <workbookView xWindow="28680" yWindow="-120" windowWidth="29040" windowHeight="15840" tabRatio="789" xr2:uid="{00000000-000D-0000-FFFF-FFFF00000000}"/>
  </bookViews>
  <sheets>
    <sheet name="Summary Table" sheetId="4" r:id="rId1"/>
    <sheet name="Map" sheetId="5" r:id="rId2"/>
    <sheet name="Design Option Curves" sheetId="3" r:id="rId3"/>
    <sheet name="Compressor EER worksheet" sheetId="6" r:id="rId4"/>
    <sheet name="AHRI &amp; DOE Max Tech Summary" sheetId="8"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8" l="1"/>
  <c r="E52" i="8"/>
  <c r="D52" i="8"/>
  <c r="C52" i="8"/>
  <c r="G39" i="8"/>
  <c r="F39" i="8"/>
  <c r="E39" i="8"/>
  <c r="D39" i="8"/>
  <c r="C39" i="8"/>
  <c r="G38" i="8"/>
  <c r="F38" i="8"/>
  <c r="E38" i="8"/>
  <c r="D38" i="8"/>
  <c r="C38" i="8"/>
  <c r="G27" i="8"/>
  <c r="F27" i="8"/>
  <c r="E27" i="8"/>
  <c r="D27" i="8"/>
  <c r="C27" i="8"/>
  <c r="G26" i="8"/>
  <c r="F26" i="8"/>
  <c r="E26" i="8"/>
  <c r="D26" i="8"/>
  <c r="C26" i="8"/>
  <c r="G24" i="8"/>
  <c r="F24" i="8"/>
  <c r="E24" i="8"/>
  <c r="D24" i="8"/>
  <c r="C24" i="8"/>
  <c r="G21" i="8"/>
  <c r="F21" i="8"/>
  <c r="E21" i="8"/>
  <c r="D21" i="8"/>
  <c r="C21" i="8"/>
  <c r="G20" i="8"/>
  <c r="F20" i="8"/>
  <c r="E20" i="8"/>
  <c r="D20" i="8"/>
  <c r="C20" i="8"/>
  <c r="G17" i="8"/>
  <c r="F17" i="8"/>
  <c r="E17" i="8"/>
  <c r="D17" i="8"/>
  <c r="C17" i="8"/>
  <c r="G16" i="8"/>
  <c r="F16" i="8"/>
  <c r="E16" i="8"/>
  <c r="D16" i="8"/>
  <c r="C16" i="8"/>
  <c r="G15" i="8"/>
  <c r="F15" i="8"/>
  <c r="E15" i="8"/>
  <c r="D15" i="8"/>
  <c r="C15" i="8"/>
  <c r="G13" i="8"/>
  <c r="F13" i="8"/>
  <c r="E13" i="8"/>
  <c r="D13" i="8"/>
  <c r="C13" i="8"/>
  <c r="G12" i="8"/>
  <c r="F12" i="8"/>
  <c r="E12" i="8"/>
  <c r="D12" i="8"/>
  <c r="C12" i="8"/>
  <c r="G11" i="8"/>
  <c r="F11" i="8"/>
  <c r="E11" i="8"/>
  <c r="D11" i="8"/>
  <c r="C11" i="8"/>
  <c r="G10" i="8"/>
  <c r="F10" i="8"/>
  <c r="E10" i="8"/>
  <c r="D10" i="8"/>
  <c r="C10" i="8"/>
  <c r="D55" i="3"/>
  <c r="E98" i="3"/>
  <c r="E119" i="3"/>
  <c r="D97" i="3"/>
  <c r="D98" i="3" s="1"/>
  <c r="D99" i="3" s="1"/>
  <c r="D100" i="3" s="1"/>
  <c r="D101" i="3" s="1"/>
  <c r="D118" i="3"/>
  <c r="D119" i="3" l="1"/>
  <c r="D120" i="3" s="1"/>
  <c r="D121" i="3" s="1"/>
  <c r="D122" i="3" s="1"/>
  <c r="D268" i="3"/>
  <c r="D269" i="3" s="1"/>
  <c r="D270" i="3" s="1"/>
  <c r="D271" i="3" s="1"/>
  <c r="D272" i="3" s="1"/>
  <c r="D273" i="3" s="1"/>
  <c r="D76" i="3" l="1"/>
  <c r="D77" i="3" s="1"/>
  <c r="D78" i="3" s="1"/>
  <c r="D79" i="3" s="1"/>
  <c r="D80" i="3" s="1"/>
  <c r="D81" i="3" s="1"/>
  <c r="E293" i="3" l="1"/>
  <c r="E294" i="3"/>
  <c r="E295" i="3"/>
  <c r="E291" i="3"/>
  <c r="E292" i="3"/>
  <c r="D12" i="3"/>
  <c r="D13" i="3" s="1"/>
  <c r="D14" i="3" s="1"/>
  <c r="D15" i="3" s="1"/>
  <c r="D16" i="3" s="1"/>
  <c r="D17" i="3" s="1"/>
  <c r="D18" i="3" s="1"/>
  <c r="D19" i="3" s="1"/>
  <c r="E178" i="3"/>
  <c r="D178" i="3" s="1"/>
  <c r="D179" i="3" s="1"/>
  <c r="D180" i="3" s="1"/>
  <c r="D181" i="3" s="1"/>
  <c r="D182" i="3" s="1"/>
  <c r="D183" i="3" s="1"/>
  <c r="E138" i="3"/>
  <c r="D138" i="3" s="1"/>
  <c r="D139" i="3" s="1"/>
  <c r="D140" i="3" s="1"/>
  <c r="D141" i="3" s="1"/>
  <c r="J158" i="3" l="1"/>
  <c r="G159" i="3" s="1"/>
  <c r="J159" i="3" s="1"/>
  <c r="E36" i="3"/>
  <c r="D34" i="3"/>
  <c r="D35" i="3" s="1"/>
  <c r="D36" i="3" s="1"/>
  <c r="J246" i="3"/>
  <c r="J138" i="3"/>
  <c r="J55" i="3"/>
  <c r="G56" i="3" s="1"/>
  <c r="J56" i="3" s="1"/>
  <c r="D158" i="3"/>
  <c r="D56" i="3"/>
  <c r="D57" i="3" l="1"/>
  <c r="D58" i="3" s="1"/>
  <c r="D59" i="3" s="1"/>
  <c r="D60" i="3" s="1"/>
  <c r="D61" i="3" s="1"/>
  <c r="P58" i="3" s="1"/>
  <c r="D37" i="3"/>
  <c r="D38" i="3" l="1"/>
  <c r="D39" i="3" s="1"/>
  <c r="D40" i="3" s="1"/>
  <c r="D41" i="3" s="1"/>
  <c r="D42" i="3" s="1"/>
  <c r="D159" i="3" l="1"/>
  <c r="D29" i="6"/>
  <c r="C31" i="6"/>
  <c r="C29" i="6"/>
  <c r="B31" i="6"/>
  <c r="E31" i="6" s="1"/>
  <c r="B30" i="6"/>
  <c r="E30" i="6" s="1"/>
  <c r="B29" i="6"/>
  <c r="E29" i="6" s="1"/>
  <c r="B28" i="6"/>
  <c r="E28" i="6" s="1"/>
  <c r="B27" i="6"/>
  <c r="B5" i="6"/>
  <c r="B4" i="6"/>
  <c r="E27" i="6" l="1"/>
  <c r="D27" i="6"/>
  <c r="D30" i="6"/>
  <c r="D28" i="6"/>
  <c r="D31" i="6"/>
  <c r="D160" i="3"/>
  <c r="D161" i="3" s="1"/>
  <c r="D162" i="3" s="1"/>
  <c r="D163" i="3" s="1"/>
  <c r="D164" i="3" s="1"/>
  <c r="D165" i="3" s="1"/>
  <c r="G7" i="3" l="1"/>
  <c r="J314" i="3" l="1"/>
  <c r="J292" i="3"/>
  <c r="J269" i="3"/>
  <c r="J222" i="3"/>
  <c r="J202" i="3"/>
  <c r="J178" i="3"/>
  <c r="J118" i="3"/>
  <c r="G119" i="3" s="1"/>
  <c r="J119" i="3" s="1"/>
  <c r="J97" i="3"/>
  <c r="G98" i="3" s="1"/>
  <c r="J98" i="3" s="1"/>
  <c r="J76" i="3"/>
  <c r="J35" i="3"/>
  <c r="G36" i="3" s="1"/>
  <c r="J36" i="3" s="1"/>
  <c r="J12" i="3"/>
  <c r="K12" i="3" s="1"/>
  <c r="L12" i="3" s="1"/>
  <c r="G71" i="3"/>
  <c r="K76" i="3" l="1"/>
  <c r="H69" i="3"/>
  <c r="L76" i="3" l="1"/>
  <c r="Q77" i="3"/>
  <c r="C9" i="4"/>
  <c r="C12" i="3"/>
  <c r="S34" i="3" l="1"/>
  <c r="U189" i="3"/>
  <c r="U167" i="3"/>
  <c r="T17" i="3"/>
  <c r="O23" i="3"/>
  <c r="G11" i="4" l="1"/>
  <c r="F11" i="4"/>
  <c r="E11" i="4"/>
  <c r="D11" i="4"/>
  <c r="C11" i="4"/>
  <c r="P121" i="3"/>
  <c r="V127" i="3" s="1"/>
  <c r="O127" i="3"/>
  <c r="S121" i="3"/>
  <c r="S120" i="3"/>
  <c r="S119" i="3"/>
  <c r="S118" i="3"/>
  <c r="T120" i="3"/>
  <c r="W120" i="3" s="1"/>
  <c r="X120" i="3" s="1"/>
  <c r="M117" i="3"/>
  <c r="K118" i="3"/>
  <c r="K119" i="3" s="1"/>
  <c r="C117" i="3"/>
  <c r="C121" i="3" s="1"/>
  <c r="N11" i="4" l="1"/>
  <c r="N12" i="8"/>
  <c r="R12" i="8" s="1"/>
  <c r="R118" i="3"/>
  <c r="H12" i="8"/>
  <c r="C120" i="3"/>
  <c r="H11" i="4"/>
  <c r="C122" i="3"/>
  <c r="C118" i="3"/>
  <c r="C119" i="3"/>
  <c r="L119" i="3"/>
  <c r="M119" i="3" s="1"/>
  <c r="K120" i="3"/>
  <c r="Q119" i="3" s="1"/>
  <c r="L118" i="3"/>
  <c r="M118" i="3" s="1"/>
  <c r="F51" i="4"/>
  <c r="E51" i="4"/>
  <c r="D51" i="4"/>
  <c r="C51" i="4"/>
  <c r="G38" i="4"/>
  <c r="F38" i="4"/>
  <c r="E38" i="4"/>
  <c r="D38" i="4"/>
  <c r="C38" i="4"/>
  <c r="G37" i="4"/>
  <c r="F37" i="4"/>
  <c r="E37" i="4"/>
  <c r="D37" i="4"/>
  <c r="C37" i="4"/>
  <c r="G23" i="4"/>
  <c r="F23" i="4"/>
  <c r="E23" i="4"/>
  <c r="D23" i="4"/>
  <c r="C23" i="4"/>
  <c r="G26" i="4"/>
  <c r="F26" i="4"/>
  <c r="E26" i="4"/>
  <c r="D26" i="4"/>
  <c r="C26" i="4"/>
  <c r="G25" i="4"/>
  <c r="F25" i="4"/>
  <c r="E25" i="4"/>
  <c r="D25" i="4"/>
  <c r="C25" i="4"/>
  <c r="G20" i="4"/>
  <c r="F20" i="4"/>
  <c r="E20" i="4"/>
  <c r="D20" i="4"/>
  <c r="C20" i="4"/>
  <c r="G19" i="4"/>
  <c r="F19" i="4"/>
  <c r="E19" i="4"/>
  <c r="D19" i="4"/>
  <c r="C19" i="4"/>
  <c r="G12" i="4"/>
  <c r="F12" i="4"/>
  <c r="E12" i="4"/>
  <c r="D12" i="4"/>
  <c r="C12" i="4"/>
  <c r="G10" i="4"/>
  <c r="F10" i="4"/>
  <c r="E10" i="4"/>
  <c r="D10" i="4"/>
  <c r="C10" i="4"/>
  <c r="U322" i="3"/>
  <c r="O322" i="3"/>
  <c r="O301" i="3"/>
  <c r="O278" i="3"/>
  <c r="O256" i="3"/>
  <c r="O233" i="3"/>
  <c r="O211" i="3"/>
  <c r="T189" i="3"/>
  <c r="O189" i="3"/>
  <c r="T167" i="3"/>
  <c r="O167" i="3"/>
  <c r="U147" i="3"/>
  <c r="T147" i="3"/>
  <c r="S147" i="3"/>
  <c r="O147" i="3"/>
  <c r="U106" i="3"/>
  <c r="T106" i="3"/>
  <c r="O106" i="3"/>
  <c r="U86" i="3"/>
  <c r="O86" i="3"/>
  <c r="G9" i="4"/>
  <c r="F9" i="4"/>
  <c r="E9" i="4"/>
  <c r="D9" i="4"/>
  <c r="V64" i="3"/>
  <c r="U64" i="3"/>
  <c r="T64" i="3"/>
  <c r="S64" i="3"/>
  <c r="O64" i="3"/>
  <c r="G16" i="4"/>
  <c r="F16" i="4"/>
  <c r="E16" i="4"/>
  <c r="D16" i="4"/>
  <c r="C16" i="4"/>
  <c r="U44" i="3"/>
  <c r="O44" i="3"/>
  <c r="G15" i="4"/>
  <c r="F15" i="4"/>
  <c r="E15" i="4"/>
  <c r="D15" i="4"/>
  <c r="C15" i="4"/>
  <c r="G14" i="4"/>
  <c r="F14" i="4"/>
  <c r="E14" i="4"/>
  <c r="D14" i="4"/>
  <c r="C14" i="4"/>
  <c r="N16" i="4" l="1"/>
  <c r="N17" i="8"/>
  <c r="R17" i="8" s="1"/>
  <c r="P127" i="3"/>
  <c r="R119" i="3"/>
  <c r="Y120" i="3"/>
  <c r="L120" i="3"/>
  <c r="M120" i="3" s="1"/>
  <c r="K121" i="3"/>
  <c r="G308" i="3"/>
  <c r="G286" i="3"/>
  <c r="G263" i="3"/>
  <c r="I11" i="4" l="1"/>
  <c r="I12" i="8"/>
  <c r="K122" i="3"/>
  <c r="L121" i="3"/>
  <c r="M121" i="3" s="1"/>
  <c r="T250" i="3"/>
  <c r="T249" i="3"/>
  <c r="W249" i="3" s="1"/>
  <c r="X249" i="3" s="1"/>
  <c r="T227" i="3"/>
  <c r="T226" i="3"/>
  <c r="W226" i="3" s="1"/>
  <c r="X226" i="3" s="1"/>
  <c r="T225" i="3"/>
  <c r="W225" i="3" s="1"/>
  <c r="X225" i="3" s="1"/>
  <c r="T181" i="3"/>
  <c r="W181" i="3" s="1"/>
  <c r="X181" i="3" s="1"/>
  <c r="T140" i="3"/>
  <c r="W140" i="3" s="1"/>
  <c r="X140" i="3" s="1"/>
  <c r="T79" i="3"/>
  <c r="W79" i="3" s="1"/>
  <c r="X79" i="3" s="1"/>
  <c r="T80" i="3"/>
  <c r="T37" i="3"/>
  <c r="W37" i="3" l="1"/>
  <c r="X37" i="3" s="1"/>
  <c r="Q121" i="3"/>
  <c r="W127" i="3" s="1"/>
  <c r="O12" i="8" s="1"/>
  <c r="S12" i="8" s="1"/>
  <c r="L122" i="3"/>
  <c r="M122" i="3" s="1"/>
  <c r="U120" i="3"/>
  <c r="Q120" i="3" s="1"/>
  <c r="C246" i="3"/>
  <c r="C247" i="3"/>
  <c r="C248" i="3"/>
  <c r="C249" i="3"/>
  <c r="C245" i="3"/>
  <c r="Q127" i="3" l="1"/>
  <c r="R120" i="3"/>
  <c r="O11" i="4"/>
  <c r="R127" i="3"/>
  <c r="R121" i="3"/>
  <c r="T205" i="3"/>
  <c r="W205" i="3" s="1"/>
  <c r="X205" i="3" s="1"/>
  <c r="T160" i="3"/>
  <c r="W160" i="3" s="1"/>
  <c r="X160" i="3" s="1"/>
  <c r="W80" i="3"/>
  <c r="X80" i="3" s="1"/>
  <c r="M54" i="3"/>
  <c r="H16" i="4" l="1"/>
  <c r="H17" i="8"/>
  <c r="J11" i="4"/>
  <c r="J12" i="8"/>
  <c r="S310" i="3"/>
  <c r="S313" i="3" s="1"/>
  <c r="P317" i="3"/>
  <c r="V322" i="3" s="1"/>
  <c r="T316" i="3"/>
  <c r="W316" i="3" s="1"/>
  <c r="X316" i="3" s="1"/>
  <c r="L312" i="3"/>
  <c r="C314" i="3"/>
  <c r="C315" i="3"/>
  <c r="C316" i="3"/>
  <c r="C317" i="3"/>
  <c r="C313" i="3"/>
  <c r="J317" i="3"/>
  <c r="K313" i="3"/>
  <c r="Q313" i="3" s="1"/>
  <c r="S288" i="3"/>
  <c r="S291" i="3" s="1"/>
  <c r="P296" i="3"/>
  <c r="V301" i="3" s="1"/>
  <c r="T295" i="3"/>
  <c r="W295" i="3" s="1"/>
  <c r="X295" i="3" s="1"/>
  <c r="T294" i="3"/>
  <c r="W294" i="3" s="1"/>
  <c r="X294" i="3" s="1"/>
  <c r="M290" i="3"/>
  <c r="H39" i="8" s="1"/>
  <c r="K291" i="3"/>
  <c r="K292" i="3" s="1"/>
  <c r="K293" i="3" s="1"/>
  <c r="K294" i="3" s="1"/>
  <c r="C292" i="3"/>
  <c r="C293" i="3"/>
  <c r="C294" i="3"/>
  <c r="C295" i="3"/>
  <c r="C291" i="3"/>
  <c r="J295" i="3"/>
  <c r="S265" i="3"/>
  <c r="S269" i="3" s="1"/>
  <c r="P273" i="3"/>
  <c r="V278" i="3" s="1"/>
  <c r="T272" i="3"/>
  <c r="W272" i="3" s="1"/>
  <c r="X272" i="3" s="1"/>
  <c r="T270" i="3"/>
  <c r="W270" i="3" s="1"/>
  <c r="X270" i="3" s="1"/>
  <c r="M267" i="3"/>
  <c r="H38" i="8" s="1"/>
  <c r="K268" i="3"/>
  <c r="K269" i="3" s="1"/>
  <c r="C269" i="3"/>
  <c r="C270" i="3"/>
  <c r="C271" i="3"/>
  <c r="C273" i="3"/>
  <c r="C272" i="3"/>
  <c r="C268" i="3"/>
  <c r="J272" i="3"/>
  <c r="K270" i="3" l="1"/>
  <c r="L269" i="3"/>
  <c r="M269" i="3" s="1"/>
  <c r="G51" i="4"/>
  <c r="G52" i="8"/>
  <c r="N51" i="4"/>
  <c r="N52" i="8"/>
  <c r="R52" i="8" s="1"/>
  <c r="M312" i="3"/>
  <c r="H52" i="8" s="1"/>
  <c r="N37" i="4"/>
  <c r="N38" i="8"/>
  <c r="R38" i="8" s="1"/>
  <c r="N38" i="4"/>
  <c r="N39" i="8"/>
  <c r="R39" i="8" s="1"/>
  <c r="K295" i="3"/>
  <c r="Q296" i="3" s="1"/>
  <c r="R296" i="3" s="1"/>
  <c r="R267" i="3"/>
  <c r="H37" i="4"/>
  <c r="R313" i="3"/>
  <c r="P322" i="3"/>
  <c r="I52" i="8" s="1"/>
  <c r="S296" i="3"/>
  <c r="H51" i="4"/>
  <c r="R290" i="3"/>
  <c r="H38" i="4"/>
  <c r="S292" i="3"/>
  <c r="S272" i="3"/>
  <c r="S268" i="3"/>
  <c r="S267" i="3"/>
  <c r="S270" i="3"/>
  <c r="Q292" i="3"/>
  <c r="S294" i="3"/>
  <c r="L313" i="3"/>
  <c r="S312" i="3"/>
  <c r="S316" i="3"/>
  <c r="S314" i="3"/>
  <c r="S317" i="3"/>
  <c r="S315" i="3"/>
  <c r="Q268" i="3"/>
  <c r="L268" i="3"/>
  <c r="M268" i="3" s="1"/>
  <c r="Q269" i="3"/>
  <c r="S273" i="3"/>
  <c r="S271" i="3"/>
  <c r="L291" i="3"/>
  <c r="M291" i="3" s="1"/>
  <c r="L294" i="3"/>
  <c r="M294" i="3" s="1"/>
  <c r="L292" i="3"/>
  <c r="M292" i="3" s="1"/>
  <c r="Y294" i="3"/>
  <c r="Y295" i="3"/>
  <c r="S290" i="3"/>
  <c r="S295" i="3"/>
  <c r="S293" i="3"/>
  <c r="M313" i="3"/>
  <c r="L293" i="3"/>
  <c r="M293" i="3" s="1"/>
  <c r="Q291" i="3"/>
  <c r="Q293" i="3"/>
  <c r="U294" i="3"/>
  <c r="K314" i="3"/>
  <c r="L314" i="3" s="1"/>
  <c r="S228" i="3"/>
  <c r="S201" i="3"/>
  <c r="S202" i="3"/>
  <c r="S203" i="3"/>
  <c r="S204" i="3"/>
  <c r="S205" i="3"/>
  <c r="S206" i="3"/>
  <c r="S200" i="3"/>
  <c r="S176" i="3"/>
  <c r="S180" i="3" s="1"/>
  <c r="S156" i="3"/>
  <c r="S159" i="3" s="1"/>
  <c r="S136" i="3"/>
  <c r="S139" i="3" s="1"/>
  <c r="S95" i="3"/>
  <c r="S53" i="3"/>
  <c r="S57" i="3" s="1"/>
  <c r="S18" i="3"/>
  <c r="S13" i="3"/>
  <c r="S14" i="3"/>
  <c r="S15" i="3"/>
  <c r="S16" i="3"/>
  <c r="S17" i="3"/>
  <c r="S12" i="3"/>
  <c r="P251" i="3"/>
  <c r="V256" i="3" s="1"/>
  <c r="W250" i="3"/>
  <c r="X250" i="3" s="1"/>
  <c r="M244" i="3"/>
  <c r="H24" i="8" s="1"/>
  <c r="K245" i="3"/>
  <c r="P228" i="3"/>
  <c r="V233" i="3" s="1"/>
  <c r="W227" i="3"/>
  <c r="X227" i="3" s="1"/>
  <c r="M221" i="3"/>
  <c r="H27" i="8" s="1"/>
  <c r="K222" i="3"/>
  <c r="C223" i="3"/>
  <c r="C224" i="3"/>
  <c r="C225" i="3"/>
  <c r="C226" i="3"/>
  <c r="C227" i="3"/>
  <c r="C228" i="3"/>
  <c r="C222" i="3"/>
  <c r="G195" i="3"/>
  <c r="P206" i="3"/>
  <c r="V211" i="3" s="1"/>
  <c r="M199" i="3"/>
  <c r="H26" i="8" s="1"/>
  <c r="K200" i="3"/>
  <c r="K201" i="3" s="1"/>
  <c r="K202" i="3" s="1"/>
  <c r="C201" i="3"/>
  <c r="C202" i="3"/>
  <c r="C203" i="3"/>
  <c r="C204" i="3"/>
  <c r="C205" i="3"/>
  <c r="C206" i="3"/>
  <c r="C200" i="3"/>
  <c r="P182" i="3"/>
  <c r="V189" i="3" s="1"/>
  <c r="M177" i="3"/>
  <c r="H21" i="8" s="1"/>
  <c r="K178" i="3"/>
  <c r="G182" i="3"/>
  <c r="G180" i="3"/>
  <c r="C179" i="3"/>
  <c r="C180" i="3"/>
  <c r="C181" i="3"/>
  <c r="C182" i="3"/>
  <c r="C183" i="3"/>
  <c r="C178" i="3"/>
  <c r="M157" i="3"/>
  <c r="H20" i="8" s="1"/>
  <c r="T161" i="3"/>
  <c r="W161" i="3" s="1"/>
  <c r="X161" i="3" s="1"/>
  <c r="P162" i="3"/>
  <c r="K158" i="3"/>
  <c r="L158" i="3" s="1"/>
  <c r="C159" i="3"/>
  <c r="C160" i="3"/>
  <c r="C161" i="3"/>
  <c r="C162" i="3"/>
  <c r="C163" i="3"/>
  <c r="C164" i="3"/>
  <c r="C165" i="3"/>
  <c r="C158" i="3"/>
  <c r="P141" i="3"/>
  <c r="V147" i="3" s="1"/>
  <c r="M137" i="3"/>
  <c r="H13" i="8" s="1"/>
  <c r="K138" i="3"/>
  <c r="L138" i="3" s="1"/>
  <c r="M138" i="3" s="1"/>
  <c r="G140" i="3"/>
  <c r="C139" i="3"/>
  <c r="C140" i="3"/>
  <c r="C141" i="3"/>
  <c r="C138" i="3"/>
  <c r="M96" i="3"/>
  <c r="H11" i="8" s="1"/>
  <c r="C75" i="3"/>
  <c r="R312" i="3" l="1"/>
  <c r="N26" i="4"/>
  <c r="N27" i="8"/>
  <c r="R27" i="8" s="1"/>
  <c r="N20" i="4"/>
  <c r="N21" i="8"/>
  <c r="R21" i="8" s="1"/>
  <c r="N25" i="4"/>
  <c r="N26" i="8"/>
  <c r="R26" i="8" s="1"/>
  <c r="N12" i="4"/>
  <c r="N13" i="8"/>
  <c r="R13" i="8" s="1"/>
  <c r="N23" i="4"/>
  <c r="N24" i="8"/>
  <c r="R24" i="8" s="1"/>
  <c r="K271" i="3"/>
  <c r="U270" i="3" s="1"/>
  <c r="L270" i="3"/>
  <c r="M270" i="3" s="1"/>
  <c r="V167" i="3"/>
  <c r="L295" i="3"/>
  <c r="M295" i="3" s="1"/>
  <c r="U295" i="3"/>
  <c r="Q295" i="3" s="1"/>
  <c r="U301" i="3"/>
  <c r="R293" i="3"/>
  <c r="R301" i="3"/>
  <c r="R178" i="3"/>
  <c r="H20" i="4"/>
  <c r="Q223" i="3"/>
  <c r="P233" i="3" s="1"/>
  <c r="I27" i="8" s="1"/>
  <c r="R291" i="3"/>
  <c r="P301" i="3"/>
  <c r="I39" i="8" s="1"/>
  <c r="R138" i="3"/>
  <c r="H12" i="4"/>
  <c r="R158" i="3"/>
  <c r="H19" i="4"/>
  <c r="R200" i="3"/>
  <c r="H25" i="4"/>
  <c r="R269" i="3"/>
  <c r="Q278" i="3"/>
  <c r="K159" i="3"/>
  <c r="K179" i="3"/>
  <c r="Q179" i="3" s="1"/>
  <c r="P189" i="3" s="1"/>
  <c r="I21" i="8" s="1"/>
  <c r="K139" i="3"/>
  <c r="Q139" i="3" s="1"/>
  <c r="Q246" i="3"/>
  <c r="P256" i="3" s="1"/>
  <c r="I51" i="4"/>
  <c r="R222" i="3"/>
  <c r="H26" i="4"/>
  <c r="R245" i="3"/>
  <c r="H23" i="4"/>
  <c r="S99" i="3"/>
  <c r="S97" i="3"/>
  <c r="Y270" i="3"/>
  <c r="R268" i="3"/>
  <c r="P278" i="3"/>
  <c r="I38" i="8" s="1"/>
  <c r="R292" i="3"/>
  <c r="Q301" i="3"/>
  <c r="R97" i="3"/>
  <c r="H10" i="4"/>
  <c r="S100" i="3"/>
  <c r="S140" i="3"/>
  <c r="Q314" i="3"/>
  <c r="L178" i="3"/>
  <c r="M178" i="3" s="1"/>
  <c r="K203" i="3"/>
  <c r="L203" i="3" s="1"/>
  <c r="M203" i="3" s="1"/>
  <c r="Y205" i="3"/>
  <c r="S98" i="3"/>
  <c r="S138" i="3"/>
  <c r="S55" i="3"/>
  <c r="S58" i="3"/>
  <c r="S56" i="3"/>
  <c r="S101" i="3"/>
  <c r="S141" i="3"/>
  <c r="S158" i="3"/>
  <c r="S160" i="3"/>
  <c r="S162" i="3"/>
  <c r="S178" i="3"/>
  <c r="S181" i="3"/>
  <c r="S179" i="3"/>
  <c r="Y316" i="3"/>
  <c r="Q294" i="3"/>
  <c r="S161" i="3"/>
  <c r="S182" i="3"/>
  <c r="M314" i="3"/>
  <c r="K315" i="3"/>
  <c r="M158" i="3"/>
  <c r="L200" i="3"/>
  <c r="M200" i="3" s="1"/>
  <c r="L222" i="3"/>
  <c r="M222" i="3" s="1"/>
  <c r="K246" i="3"/>
  <c r="K223" i="3"/>
  <c r="Q224" i="3" s="1"/>
  <c r="Q233" i="3" s="1"/>
  <c r="L245" i="3"/>
  <c r="M245" i="3" s="1"/>
  <c r="L202" i="3"/>
  <c r="M202" i="3" s="1"/>
  <c r="Q202" i="3"/>
  <c r="Q204" i="3"/>
  <c r="L201" i="3"/>
  <c r="M201" i="3" s="1"/>
  <c r="Q201" i="3"/>
  <c r="Q203" i="3"/>
  <c r="G92" i="3"/>
  <c r="C96" i="3" s="1"/>
  <c r="C98" i="3" s="1"/>
  <c r="P101" i="3"/>
  <c r="V106" i="3" s="1"/>
  <c r="T100" i="3"/>
  <c r="W100" i="3" s="1"/>
  <c r="X100" i="3" s="1"/>
  <c r="K97" i="3"/>
  <c r="L97" i="3" s="1"/>
  <c r="M97" i="3" s="1"/>
  <c r="P81" i="3"/>
  <c r="V86" i="3" s="1"/>
  <c r="M75" i="3"/>
  <c r="H10" i="8" s="1"/>
  <c r="C80" i="3"/>
  <c r="C77" i="3"/>
  <c r="C81" i="3"/>
  <c r="C78" i="3"/>
  <c r="C79" i="3"/>
  <c r="C76" i="3"/>
  <c r="G50" i="3"/>
  <c r="R55" i="3"/>
  <c r="K55" i="3"/>
  <c r="K56" i="3" s="1"/>
  <c r="C61" i="3"/>
  <c r="C56" i="3"/>
  <c r="C57" i="3"/>
  <c r="C58" i="3"/>
  <c r="C59" i="3"/>
  <c r="C60" i="3"/>
  <c r="C55" i="3"/>
  <c r="G29" i="3"/>
  <c r="P39" i="3"/>
  <c r="V44" i="3" s="1"/>
  <c r="M33" i="3"/>
  <c r="H16" i="8" s="1"/>
  <c r="K34" i="3"/>
  <c r="M12" i="3"/>
  <c r="C35" i="3"/>
  <c r="C36" i="3"/>
  <c r="C37" i="3"/>
  <c r="C38" i="3"/>
  <c r="C39" i="3"/>
  <c r="C42" i="3"/>
  <c r="C40" i="3"/>
  <c r="C41" i="3"/>
  <c r="C34" i="3"/>
  <c r="C18" i="3"/>
  <c r="C17" i="3"/>
  <c r="C16" i="3"/>
  <c r="C15" i="3"/>
  <c r="C14" i="3"/>
  <c r="C19" i="3"/>
  <c r="C13" i="3"/>
  <c r="M11" i="3"/>
  <c r="P18" i="3"/>
  <c r="V23" i="3" s="1"/>
  <c r="Y17" i="3"/>
  <c r="X17" i="3"/>
  <c r="W17" i="3"/>
  <c r="J37" i="4" l="1"/>
  <c r="J38" i="8"/>
  <c r="K38" i="4"/>
  <c r="K39" i="8"/>
  <c r="N9" i="4"/>
  <c r="N10" i="8"/>
  <c r="R10" i="8" s="1"/>
  <c r="K57" i="3"/>
  <c r="L56" i="3"/>
  <c r="M56" i="3" s="1"/>
  <c r="N15" i="4"/>
  <c r="N16" i="8"/>
  <c r="R16" i="8" s="1"/>
  <c r="K272" i="3"/>
  <c r="L271" i="3"/>
  <c r="M271" i="3" s="1"/>
  <c r="N14" i="4"/>
  <c r="N15" i="8"/>
  <c r="R15" i="8" s="1"/>
  <c r="J38" i="4"/>
  <c r="J39" i="8"/>
  <c r="J26" i="4"/>
  <c r="J27" i="8"/>
  <c r="R12" i="3"/>
  <c r="H15" i="8"/>
  <c r="I23" i="4"/>
  <c r="I24" i="8"/>
  <c r="N19" i="4"/>
  <c r="N20" i="8"/>
  <c r="R20" i="8" s="1"/>
  <c r="N10" i="4"/>
  <c r="N11" i="8"/>
  <c r="R11" i="8" s="1"/>
  <c r="K160" i="3"/>
  <c r="K161" i="3" s="1"/>
  <c r="Y160" i="3" s="1"/>
  <c r="L159" i="3"/>
  <c r="M159" i="3" s="1"/>
  <c r="R223" i="3"/>
  <c r="K13" i="3"/>
  <c r="C100" i="3"/>
  <c r="L179" i="3"/>
  <c r="M179" i="3" s="1"/>
  <c r="Q270" i="3"/>
  <c r="R278" i="3" s="1"/>
  <c r="K180" i="3"/>
  <c r="K181" i="3" s="1"/>
  <c r="Q180" i="3" s="1"/>
  <c r="R246" i="3"/>
  <c r="C97" i="3"/>
  <c r="K140" i="3"/>
  <c r="L140" i="3" s="1"/>
  <c r="M140" i="3" s="1"/>
  <c r="R139" i="3"/>
  <c r="P147" i="3"/>
  <c r="I13" i="8" s="1"/>
  <c r="R179" i="3"/>
  <c r="Y226" i="3"/>
  <c r="Y227" i="3"/>
  <c r="Y225" i="3"/>
  <c r="K162" i="3"/>
  <c r="L162" i="3" s="1"/>
  <c r="I37" i="4"/>
  <c r="I26" i="4"/>
  <c r="R203" i="3"/>
  <c r="R211" i="3"/>
  <c r="R202" i="3"/>
  <c r="Q211" i="3"/>
  <c r="R295" i="3"/>
  <c r="T301" i="3"/>
  <c r="L139" i="3"/>
  <c r="M139" i="3" s="1"/>
  <c r="Y140" i="3"/>
  <c r="R201" i="3"/>
  <c r="P211" i="3"/>
  <c r="I26" i="8" s="1"/>
  <c r="L161" i="3"/>
  <c r="M161" i="3" s="1"/>
  <c r="I20" i="4"/>
  <c r="W18" i="3"/>
  <c r="X18" i="3" s="1"/>
  <c r="H14" i="4"/>
  <c r="R204" i="3"/>
  <c r="S211" i="3"/>
  <c r="L160" i="3"/>
  <c r="M160" i="3" s="1"/>
  <c r="R294" i="3"/>
  <c r="S301" i="3"/>
  <c r="R314" i="3"/>
  <c r="Q322" i="3"/>
  <c r="J52" i="8" s="1"/>
  <c r="Q159" i="3"/>
  <c r="I38" i="4"/>
  <c r="R224" i="3"/>
  <c r="K35" i="3"/>
  <c r="P86" i="3"/>
  <c r="I10" i="8" s="1"/>
  <c r="R34" i="3"/>
  <c r="H15" i="4"/>
  <c r="R76" i="3"/>
  <c r="H9" i="4"/>
  <c r="Q315" i="3"/>
  <c r="L315" i="3"/>
  <c r="M315" i="3" s="1"/>
  <c r="L223" i="3"/>
  <c r="M223" i="3" s="1"/>
  <c r="K204" i="3"/>
  <c r="U205" i="3"/>
  <c r="Q205" i="3" s="1"/>
  <c r="C99" i="3"/>
  <c r="K316" i="3"/>
  <c r="L316" i="3" s="1"/>
  <c r="C101" i="3"/>
  <c r="K247" i="3"/>
  <c r="Y249" i="3" s="1"/>
  <c r="L246" i="3"/>
  <c r="M246" i="3" s="1"/>
  <c r="K224" i="3"/>
  <c r="K98" i="3"/>
  <c r="L55" i="3"/>
  <c r="M55" i="3" s="1"/>
  <c r="K80" i="3"/>
  <c r="M76" i="3"/>
  <c r="L34" i="3"/>
  <c r="M34" i="3" s="1"/>
  <c r="K273" i="3" l="1"/>
  <c r="L272" i="3"/>
  <c r="M272" i="3" s="1"/>
  <c r="U272" i="3"/>
  <c r="K58" i="3"/>
  <c r="L57" i="3"/>
  <c r="M57" i="3" s="1"/>
  <c r="Q35" i="3"/>
  <c r="P44" i="3" s="1"/>
  <c r="I16" i="8" s="1"/>
  <c r="L35" i="3"/>
  <c r="M35" i="3" s="1"/>
  <c r="K37" i="4"/>
  <c r="K38" i="8"/>
  <c r="Q273" i="3"/>
  <c r="U278" i="3" s="1"/>
  <c r="L25" i="4"/>
  <c r="L26" i="8"/>
  <c r="J25" i="4"/>
  <c r="J26" i="8"/>
  <c r="L38" i="4"/>
  <c r="L39" i="8"/>
  <c r="K14" i="3"/>
  <c r="L13" i="3"/>
  <c r="M13" i="3" s="1"/>
  <c r="Q56" i="3"/>
  <c r="K25" i="4"/>
  <c r="K26" i="8"/>
  <c r="M38" i="4"/>
  <c r="M39" i="8"/>
  <c r="Y79" i="3"/>
  <c r="L80" i="3"/>
  <c r="R270" i="3"/>
  <c r="L180" i="3"/>
  <c r="M180" i="3" s="1"/>
  <c r="K141" i="3"/>
  <c r="U140" i="3" s="1"/>
  <c r="Q140" i="3" s="1"/>
  <c r="W301" i="3"/>
  <c r="Q247" i="3"/>
  <c r="Q256" i="3" s="1"/>
  <c r="Q248" i="3"/>
  <c r="R315" i="3"/>
  <c r="R322" i="3"/>
  <c r="P167" i="3"/>
  <c r="I20" i="8" s="1"/>
  <c r="R159" i="3"/>
  <c r="J51" i="4"/>
  <c r="Q189" i="3"/>
  <c r="J21" i="8" s="1"/>
  <c r="R180" i="3"/>
  <c r="K182" i="3"/>
  <c r="Y181" i="3"/>
  <c r="L181" i="3"/>
  <c r="M181" i="3" s="1"/>
  <c r="I12" i="4"/>
  <c r="U225" i="3"/>
  <c r="Q225" i="3" s="1"/>
  <c r="U226" i="3"/>
  <c r="Q226" i="3" s="1"/>
  <c r="S233" i="3" s="1"/>
  <c r="R205" i="3"/>
  <c r="T211" i="3"/>
  <c r="I25" i="4"/>
  <c r="U160" i="3"/>
  <c r="Q160" i="3" s="1"/>
  <c r="M162" i="3"/>
  <c r="K163" i="3"/>
  <c r="P64" i="3"/>
  <c r="I17" i="8" s="1"/>
  <c r="R56" i="3"/>
  <c r="K36" i="3"/>
  <c r="Q78" i="3"/>
  <c r="Q86" i="3" s="1"/>
  <c r="I15" i="4"/>
  <c r="I9" i="4"/>
  <c r="Q57" i="3"/>
  <c r="R77" i="3"/>
  <c r="K205" i="3"/>
  <c r="L204" i="3"/>
  <c r="M204" i="3" s="1"/>
  <c r="M316" i="3"/>
  <c r="K317" i="3"/>
  <c r="L317" i="3" s="1"/>
  <c r="K248" i="3"/>
  <c r="U249" i="3" s="1"/>
  <c r="Q249" i="3" s="1"/>
  <c r="S256" i="3" s="1"/>
  <c r="L247" i="3"/>
  <c r="M247" i="3" s="1"/>
  <c r="Y250" i="3"/>
  <c r="Q98" i="3"/>
  <c r="L98" i="3"/>
  <c r="M98" i="3" s="1"/>
  <c r="L224" i="3"/>
  <c r="M224" i="3" s="1"/>
  <c r="K225" i="3"/>
  <c r="K99" i="3"/>
  <c r="Y100" i="3" s="1"/>
  <c r="K77" i="3"/>
  <c r="L77" i="3" s="1"/>
  <c r="M80" i="3"/>
  <c r="K51" i="4" l="1"/>
  <c r="K52" i="8"/>
  <c r="J23" i="4"/>
  <c r="J24" i="8"/>
  <c r="O38" i="4"/>
  <c r="O39" i="8"/>
  <c r="S39" i="8" s="1"/>
  <c r="L23" i="4"/>
  <c r="L24" i="8"/>
  <c r="R273" i="3"/>
  <c r="K15" i="3"/>
  <c r="L14" i="3"/>
  <c r="K59" i="3"/>
  <c r="L58" i="3"/>
  <c r="M58" i="3" s="1"/>
  <c r="J9" i="4"/>
  <c r="J10" i="8"/>
  <c r="Q36" i="3"/>
  <c r="K37" i="3"/>
  <c r="L36" i="3"/>
  <c r="M36" i="3" s="1"/>
  <c r="M25" i="4"/>
  <c r="M26" i="8"/>
  <c r="Q272" i="3"/>
  <c r="R35" i="3"/>
  <c r="L26" i="4"/>
  <c r="L27" i="8"/>
  <c r="L273" i="3"/>
  <c r="M273" i="3" s="1"/>
  <c r="Y272" i="3"/>
  <c r="Q271" i="3"/>
  <c r="L141" i="3"/>
  <c r="M141" i="3" s="1"/>
  <c r="R247" i="3"/>
  <c r="Q141" i="3"/>
  <c r="R141" i="3" s="1"/>
  <c r="Q147" i="3"/>
  <c r="R140" i="3"/>
  <c r="R249" i="3"/>
  <c r="R256" i="3"/>
  <c r="R248" i="3"/>
  <c r="R98" i="3"/>
  <c r="P106" i="3"/>
  <c r="I11" i="8" s="1"/>
  <c r="K164" i="3"/>
  <c r="L164" i="3" s="1"/>
  <c r="Y161" i="3"/>
  <c r="L163" i="3"/>
  <c r="M163" i="3" s="1"/>
  <c r="R233" i="3"/>
  <c r="K27" i="8" s="1"/>
  <c r="R225" i="3"/>
  <c r="I19" i="4"/>
  <c r="R226" i="3"/>
  <c r="Q167" i="3"/>
  <c r="R160" i="3"/>
  <c r="K183" i="3"/>
  <c r="L182" i="3"/>
  <c r="M182" i="3" s="1"/>
  <c r="J20" i="4"/>
  <c r="Q44" i="3"/>
  <c r="J16" i="8" s="1"/>
  <c r="R36" i="3"/>
  <c r="U79" i="3"/>
  <c r="Q79" i="3" s="1"/>
  <c r="R86" i="3" s="1"/>
  <c r="K10" i="8" s="1"/>
  <c r="Q64" i="3"/>
  <c r="R57" i="3"/>
  <c r="Y37" i="3"/>
  <c r="I16" i="4"/>
  <c r="R78" i="3"/>
  <c r="K206" i="3"/>
  <c r="L205" i="3"/>
  <c r="M205" i="3" s="1"/>
  <c r="Q317" i="3"/>
  <c r="U316" i="3"/>
  <c r="Q316" i="3" s="1"/>
  <c r="M317" i="3"/>
  <c r="L99" i="3"/>
  <c r="M99" i="3" s="1"/>
  <c r="K249" i="3"/>
  <c r="U250" i="3" s="1"/>
  <c r="Q250" i="3" s="1"/>
  <c r="T256" i="3" s="1"/>
  <c r="L248" i="3"/>
  <c r="M248" i="3" s="1"/>
  <c r="Q99" i="3"/>
  <c r="L225" i="3"/>
  <c r="M225" i="3" s="1"/>
  <c r="K226" i="3"/>
  <c r="K100" i="3"/>
  <c r="K81" i="3"/>
  <c r="M77" i="3"/>
  <c r="K60" i="3" l="1"/>
  <c r="L59" i="3"/>
  <c r="M59" i="3" s="1"/>
  <c r="R272" i="3"/>
  <c r="T278" i="3"/>
  <c r="J16" i="4"/>
  <c r="J17" i="8"/>
  <c r="J12" i="4"/>
  <c r="J13" i="8"/>
  <c r="R271" i="3"/>
  <c r="S278" i="3"/>
  <c r="M23" i="4"/>
  <c r="M24" i="8"/>
  <c r="K16" i="3"/>
  <c r="L15" i="3"/>
  <c r="K38" i="3"/>
  <c r="L37" i="3"/>
  <c r="M37" i="3" s="1"/>
  <c r="K23" i="4"/>
  <c r="K24" i="8"/>
  <c r="J19" i="4"/>
  <c r="J20" i="8"/>
  <c r="Y80" i="3"/>
  <c r="L81" i="3"/>
  <c r="M81" i="3" s="1"/>
  <c r="M14" i="3"/>
  <c r="R147" i="3"/>
  <c r="W147" i="3" s="1"/>
  <c r="R79" i="3"/>
  <c r="R317" i="3"/>
  <c r="T322" i="3"/>
  <c r="Q182" i="3"/>
  <c r="S189" i="3" s="1"/>
  <c r="U181" i="3"/>
  <c r="Q181" i="3" s="1"/>
  <c r="L183" i="3"/>
  <c r="M183" i="3" s="1"/>
  <c r="K165" i="3"/>
  <c r="L165" i="3" s="1"/>
  <c r="M164" i="3"/>
  <c r="R99" i="3"/>
  <c r="Q106" i="3"/>
  <c r="K26" i="4"/>
  <c r="I10" i="4"/>
  <c r="R250" i="3"/>
  <c r="R316" i="3"/>
  <c r="S322" i="3"/>
  <c r="L52" i="8" s="1"/>
  <c r="J15" i="4"/>
  <c r="K9" i="4"/>
  <c r="U37" i="3"/>
  <c r="Q37" i="3" s="1"/>
  <c r="R44" i="3" s="1"/>
  <c r="Q206" i="3"/>
  <c r="L206" i="3"/>
  <c r="M206" i="3" s="1"/>
  <c r="L100" i="3"/>
  <c r="M100" i="3" s="1"/>
  <c r="K101" i="3"/>
  <c r="Q251" i="3"/>
  <c r="L249" i="3"/>
  <c r="M249" i="3" s="1"/>
  <c r="L226" i="3"/>
  <c r="M226" i="3" s="1"/>
  <c r="K227" i="3"/>
  <c r="M15" i="3"/>
  <c r="K78" i="3"/>
  <c r="L78" i="3" s="1"/>
  <c r="J10" i="4" l="1"/>
  <c r="J11" i="8"/>
  <c r="L38" i="3"/>
  <c r="M38" i="3" s="1"/>
  <c r="K39" i="3"/>
  <c r="L37" i="4"/>
  <c r="L38" i="8"/>
  <c r="W278" i="3"/>
  <c r="K15" i="4"/>
  <c r="K16" i="8"/>
  <c r="M37" i="4"/>
  <c r="M38" i="8"/>
  <c r="O12" i="4"/>
  <c r="O13" i="8"/>
  <c r="S13" i="8" s="1"/>
  <c r="L16" i="3"/>
  <c r="K17" i="3"/>
  <c r="K61" i="3"/>
  <c r="L61" i="3" s="1"/>
  <c r="M61" i="3" s="1"/>
  <c r="L60" i="3"/>
  <c r="M60" i="3" s="1"/>
  <c r="Q16" i="3"/>
  <c r="R16" i="3" s="1"/>
  <c r="L227" i="3"/>
  <c r="M227" i="3" s="1"/>
  <c r="U227" i="3"/>
  <c r="Q227" i="3" s="1"/>
  <c r="R251" i="3"/>
  <c r="U256" i="3"/>
  <c r="W256" i="3" s="1"/>
  <c r="R206" i="3"/>
  <c r="U211" i="3"/>
  <c r="W211" i="3" s="1"/>
  <c r="R37" i="3"/>
  <c r="M165" i="3"/>
  <c r="Q162" i="3"/>
  <c r="U161" i="3"/>
  <c r="Q161" i="3" s="1"/>
  <c r="R182" i="3"/>
  <c r="L51" i="4"/>
  <c r="W322" i="3"/>
  <c r="R189" i="3"/>
  <c r="K21" i="8" s="1"/>
  <c r="R181" i="3"/>
  <c r="U80" i="3"/>
  <c r="L101" i="3"/>
  <c r="M101" i="3" s="1"/>
  <c r="Q101" i="3"/>
  <c r="U100" i="3"/>
  <c r="Q100" i="3" s="1"/>
  <c r="K228" i="3"/>
  <c r="Q228" i="3" s="1"/>
  <c r="U233" i="3" s="1"/>
  <c r="M78" i="3"/>
  <c r="K79" i="3"/>
  <c r="L79" i="3" s="1"/>
  <c r="M16" i="3"/>
  <c r="O25" i="4" l="1"/>
  <c r="O26" i="8"/>
  <c r="S26" i="8" s="1"/>
  <c r="O51" i="4"/>
  <c r="Q51" i="4" s="1"/>
  <c r="O52" i="8"/>
  <c r="S52" i="8" s="1"/>
  <c r="O23" i="4"/>
  <c r="O24" i="8"/>
  <c r="S24" i="8" s="1"/>
  <c r="O37" i="4"/>
  <c r="O38" i="8"/>
  <c r="S38" i="8" s="1"/>
  <c r="K40" i="3"/>
  <c r="L39" i="3"/>
  <c r="M39" i="3" s="1"/>
  <c r="K18" i="3"/>
  <c r="L17" i="3"/>
  <c r="M17" i="3" s="1"/>
  <c r="S23" i="3"/>
  <c r="R100" i="3"/>
  <c r="R106" i="3"/>
  <c r="K11" i="8" s="1"/>
  <c r="R101" i="3"/>
  <c r="S106" i="3"/>
  <c r="K20" i="4"/>
  <c r="W189" i="3"/>
  <c r="R167" i="3"/>
  <c r="K20" i="8" s="1"/>
  <c r="R161" i="3"/>
  <c r="T233" i="3"/>
  <c r="M27" i="8" s="1"/>
  <c r="R227" i="3"/>
  <c r="S167" i="3"/>
  <c r="R162" i="3"/>
  <c r="Q58" i="3"/>
  <c r="Q80" i="3"/>
  <c r="S86" i="3" s="1"/>
  <c r="L10" i="8" s="1"/>
  <c r="L228" i="3"/>
  <c r="M228" i="3" s="1"/>
  <c r="R228" i="3"/>
  <c r="M79" i="3"/>
  <c r="Q81" i="3"/>
  <c r="K41" i="3" l="1"/>
  <c r="L40" i="3"/>
  <c r="M40" i="3" s="1"/>
  <c r="K19" i="3"/>
  <c r="L18" i="3"/>
  <c r="M18" i="3" s="1"/>
  <c r="O20" i="4"/>
  <c r="O21" i="8"/>
  <c r="S21" i="8" s="1"/>
  <c r="U17" i="3"/>
  <c r="L14" i="4"/>
  <c r="L15" i="8"/>
  <c r="K10" i="4"/>
  <c r="W106" i="3"/>
  <c r="M26" i="4"/>
  <c r="W233" i="3"/>
  <c r="K19" i="4"/>
  <c r="W167" i="3"/>
  <c r="R80" i="3"/>
  <c r="L9" i="4"/>
  <c r="R81" i="3"/>
  <c r="T86" i="3"/>
  <c r="W86" i="3" s="1"/>
  <c r="O10" i="8" s="1"/>
  <c r="S10" i="8" s="1"/>
  <c r="R64" i="3"/>
  <c r="K17" i="8" s="1"/>
  <c r="U58" i="3"/>
  <c r="R58" i="3"/>
  <c r="Q18" i="3"/>
  <c r="O19" i="4" l="1"/>
  <c r="O20" i="8"/>
  <c r="S20" i="8" s="1"/>
  <c r="O10" i="4"/>
  <c r="O11" i="8"/>
  <c r="S11" i="8" s="1"/>
  <c r="L19" i="3"/>
  <c r="M19" i="3" s="1"/>
  <c r="Q14" i="3"/>
  <c r="Q13" i="3"/>
  <c r="Q15" i="3"/>
  <c r="Y18" i="3"/>
  <c r="Q17" i="3" s="1"/>
  <c r="O26" i="4"/>
  <c r="O27" i="8"/>
  <c r="S27" i="8" s="1"/>
  <c r="K42" i="3"/>
  <c r="L41" i="3"/>
  <c r="M41" i="3" s="1"/>
  <c r="O9" i="4"/>
  <c r="R18" i="3"/>
  <c r="U23" i="3"/>
  <c r="K16" i="4"/>
  <c r="W64" i="3"/>
  <c r="R17" i="3" l="1"/>
  <c r="T23" i="3"/>
  <c r="O16" i="4"/>
  <c r="O17" i="8"/>
  <c r="S17" i="8" s="1"/>
  <c r="R23" i="3"/>
  <c r="R15" i="3"/>
  <c r="R14" i="3"/>
  <c r="Q23" i="3"/>
  <c r="R13" i="3"/>
  <c r="P23" i="3"/>
  <c r="L42" i="3"/>
  <c r="M42" i="3" s="1"/>
  <c r="Q38" i="3"/>
  <c r="Q39" i="3"/>
  <c r="I14" i="4" l="1"/>
  <c r="I15" i="8"/>
  <c r="J14" i="4"/>
  <c r="J15" i="8"/>
  <c r="K14" i="4"/>
  <c r="K15" i="8"/>
  <c r="M15" i="8"/>
  <c r="M14" i="4"/>
  <c r="W23" i="3"/>
  <c r="S44" i="3"/>
  <c r="R38" i="3"/>
  <c r="R39" i="3"/>
  <c r="T44" i="3"/>
  <c r="L16" i="8" l="1"/>
  <c r="L15" i="4"/>
  <c r="O14" i="4"/>
  <c r="O15" i="8"/>
  <c r="S15" i="8" s="1"/>
  <c r="W44" i="3"/>
  <c r="O15" i="4" l="1"/>
  <c r="O16" i="8"/>
  <c r="S16"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Petrillo-Groh, Laura</author>
  </authors>
  <commentList>
    <comment ref="J12" authorId="0" shapeId="0" xr:uid="{00000000-0006-0000-0200-000001000000}">
      <text>
        <r>
          <rPr>
            <b/>
            <sz val="14"/>
            <color indexed="81"/>
            <rFont val="Tahoma"/>
            <family val="2"/>
          </rPr>
          <t>Petrillo-Groh, Laura:</t>
        </r>
        <r>
          <rPr>
            <sz val="14"/>
            <color indexed="81"/>
            <rFont val="Tahoma"/>
            <family val="2"/>
          </rPr>
          <t xml:space="preserve">
Applied Eq 5.2 from TSD with 2% increase in EER for 5% cost increase.</t>
        </r>
      </text>
    </comment>
    <comment ref="B19" authorId="0" shapeId="0" xr:uid="{00000000-0006-0000-0200-000002000000}">
      <text>
        <r>
          <rPr>
            <b/>
            <sz val="12"/>
            <color indexed="81"/>
            <rFont val="Tahoma"/>
            <family val="2"/>
          </rPr>
          <t>Petrillo-Groh, Laura:</t>
        </r>
        <r>
          <rPr>
            <sz val="12"/>
            <color indexed="81"/>
            <rFont val="Tahoma"/>
            <family val="2"/>
          </rPr>
          <t xml:space="preserve">
Relocated design option so sheet would calculate.</t>
        </r>
      </text>
    </comment>
    <comment ref="E19" authorId="0" shapeId="0" xr:uid="{00000000-0006-0000-0200-000003000000}">
      <text>
        <r>
          <rPr>
            <b/>
            <sz val="12"/>
            <color indexed="81"/>
            <rFont val="Tahoma"/>
            <family val="2"/>
          </rPr>
          <t>Petrillo-Groh, Laura:</t>
        </r>
        <r>
          <rPr>
            <sz val="12"/>
            <color indexed="81"/>
            <rFont val="Tahoma"/>
            <family val="2"/>
          </rPr>
          <t xml:space="preserve">
Reduced to 0%, refer to F19.</t>
        </r>
      </text>
    </comment>
    <comment ref="F19" authorId="0" shapeId="0" xr:uid="{00000000-0006-0000-0200-000004000000}">
      <text>
        <r>
          <rPr>
            <b/>
            <sz val="12"/>
            <color indexed="81"/>
            <rFont val="Tahoma"/>
            <family val="2"/>
          </rPr>
          <t>Petrillo-Groh, Laura:</t>
        </r>
        <r>
          <rPr>
            <sz val="12"/>
            <color indexed="81"/>
            <rFont val="Tahoma"/>
            <family val="2"/>
          </rPr>
          <t xml:space="preserve">
Nearly 15% of IMH-A-Small-B's sold are 22-inch wide units which cannot accommodate chassis growth associated with 51% increase in evaporator area. IMH-A-Small-B's make up approximately 27% of the total ice-maker market. This design option should not be considered for this equipment class.</t>
        </r>
      </text>
    </comment>
    <comment ref="J19" authorId="0" shapeId="0" xr:uid="{00000000-0006-0000-0200-000005000000}">
      <text>
        <r>
          <rPr>
            <b/>
            <sz val="12"/>
            <color indexed="81"/>
            <rFont val="Tahoma"/>
            <family val="2"/>
          </rPr>
          <t>Petrillo-Groh, Laura:</t>
        </r>
        <r>
          <rPr>
            <sz val="12"/>
            <color indexed="81"/>
            <rFont val="Tahoma"/>
            <family val="2"/>
          </rPr>
          <t xml:space="preserve">
Removed cost associated with design option.</t>
        </r>
      </text>
    </comment>
    <comment ref="J35" authorId="0" shapeId="0" xr:uid="{00000000-0006-0000-0200-000006000000}">
      <text>
        <r>
          <rPr>
            <b/>
            <sz val="14"/>
            <color indexed="81"/>
            <rFont val="Tahoma"/>
            <family val="2"/>
          </rPr>
          <t>Petrillo-Groh, Laura:</t>
        </r>
        <r>
          <rPr>
            <sz val="14"/>
            <color indexed="81"/>
            <rFont val="Tahoma"/>
            <family val="2"/>
          </rPr>
          <t xml:space="preserve">
Applied Eq 5.2 from TSD with 2% increase in EER for 5% cost increase.</t>
        </r>
      </text>
    </comment>
    <comment ref="D36" authorId="0" shapeId="0" xr:uid="{00000000-0006-0000-0200-000007000000}">
      <text>
        <r>
          <rPr>
            <b/>
            <sz val="12"/>
            <color indexed="81"/>
            <rFont val="Tahoma"/>
            <family val="2"/>
          </rPr>
          <t>Petrillo-Groh, Laura:</t>
        </r>
        <r>
          <rPr>
            <sz val="12"/>
            <color indexed="81"/>
            <rFont val="Tahoma"/>
            <family val="2"/>
          </rPr>
          <t xml:space="preserve">
Used equation generated from member supplied test data for increase in efficiency from 6.2 to 6.7 EER. Based on test data, gains in energy savings are not as significant as compressor efficiency increases. See Compressor EER tab for details.</t>
        </r>
      </text>
    </comment>
    <comment ref="J36" authorId="0" shapeId="0" xr:uid="{00000000-0006-0000-0200-000008000000}">
      <text>
        <r>
          <rPr>
            <b/>
            <sz val="14"/>
            <color indexed="81"/>
            <rFont val="Tahoma"/>
            <family val="2"/>
          </rPr>
          <t>Petrillo-Groh, Laura:</t>
        </r>
        <r>
          <rPr>
            <sz val="14"/>
            <color indexed="81"/>
            <rFont val="Tahoma"/>
            <family val="2"/>
          </rPr>
          <t xml:space="preserve">
Applied Eq 5.2 from TSD with 2% increase in EER for 5% cost increase.</t>
        </r>
      </text>
    </comment>
    <comment ref="B42" authorId="0" shapeId="0" xr:uid="{00000000-0006-0000-0200-000009000000}">
      <text>
        <r>
          <rPr>
            <b/>
            <sz val="12"/>
            <color indexed="81"/>
            <rFont val="Tahoma"/>
            <family val="2"/>
          </rPr>
          <t>Petrillo-Groh, Laura:</t>
        </r>
        <r>
          <rPr>
            <sz val="12"/>
            <color indexed="81"/>
            <rFont val="Tahoma"/>
            <family val="2"/>
          </rPr>
          <t xml:space="preserve">
Relocated design option so sheet would calculate.</t>
        </r>
      </text>
    </comment>
    <comment ref="E42" authorId="0" shapeId="0" xr:uid="{00000000-0006-0000-0200-00000A000000}">
      <text>
        <r>
          <rPr>
            <b/>
            <sz val="12"/>
            <color indexed="81"/>
            <rFont val="Tahoma"/>
            <family val="2"/>
          </rPr>
          <t>Petrillo-Groh, Laura:</t>
        </r>
        <r>
          <rPr>
            <sz val="12"/>
            <color indexed="81"/>
            <rFont val="Tahoma"/>
            <family val="2"/>
          </rPr>
          <t xml:space="preserve">
Reduced to 0%, refer to F42.</t>
        </r>
      </text>
    </comment>
    <comment ref="F42" authorId="0" shapeId="0" xr:uid="{00000000-0006-0000-0200-00000B000000}">
      <text>
        <r>
          <rPr>
            <b/>
            <sz val="12"/>
            <color indexed="81"/>
            <rFont val="Tahoma"/>
            <family val="2"/>
          </rPr>
          <t>Petrillo-Groh, Laura:</t>
        </r>
        <r>
          <rPr>
            <sz val="12"/>
            <color indexed="81"/>
            <rFont val="Tahoma"/>
            <family val="2"/>
          </rPr>
          <t xml:space="preserve">
Keeping this design option would eliminate all 22-inch wide IMH-A-Large-B cannot accommodate chassis growth and if implemented, all size-restricted units would no longer be available on te market. This design option should not be considered for this equipment class.</t>
        </r>
      </text>
    </comment>
    <comment ref="J42" authorId="0" shapeId="0" xr:uid="{00000000-0006-0000-0200-00000C000000}">
      <text>
        <r>
          <rPr>
            <b/>
            <sz val="12"/>
            <color indexed="81"/>
            <rFont val="Tahoma"/>
            <family val="2"/>
          </rPr>
          <t>Petrillo-Groh, Laura:</t>
        </r>
        <r>
          <rPr>
            <sz val="12"/>
            <color indexed="81"/>
            <rFont val="Tahoma"/>
            <family val="2"/>
          </rPr>
          <t xml:space="preserve">
Removed cost associated with design option.</t>
        </r>
      </text>
    </comment>
    <comment ref="D55" authorId="0" shapeId="0" xr:uid="{00000000-0006-0000-0200-00000D000000}">
      <text>
        <r>
          <rPr>
            <b/>
            <sz val="12"/>
            <color indexed="81"/>
            <rFont val="Tahoma"/>
            <family val="2"/>
          </rPr>
          <t>Petrillo-Groh, Laura:</t>
        </r>
        <r>
          <rPr>
            <sz val="12"/>
            <color indexed="81"/>
            <rFont val="Tahoma"/>
            <family val="2"/>
          </rPr>
          <t xml:space="preserve">
Used equation generated by back checking DOE efficiency gains for compressor increases for original increase of 5.85 to 6.1 EER. Used equation generated from member supplied test data for increase in efficiency from 6.1 to 6.5 EER. Based on test data, gains in energy savings are not as significant as compressor efficiency increases. See Compressor EER tab for details.</t>
        </r>
      </text>
    </comment>
    <comment ref="F55" authorId="0" shapeId="0" xr:uid="{00000000-0006-0000-0200-00000E000000}">
      <text>
        <r>
          <rPr>
            <b/>
            <sz val="12"/>
            <color indexed="81"/>
            <rFont val="Tahoma"/>
            <family val="2"/>
          </rPr>
          <t>Petrillo-Groh, Laura:</t>
        </r>
        <r>
          <rPr>
            <sz val="12"/>
            <color indexed="81"/>
            <rFont val="Tahoma"/>
            <family val="2"/>
          </rPr>
          <t xml:space="preserve">
This had been 5.85 to 6.1, however, the increase was changed to 6.5 to provide consistency with next step.</t>
        </r>
      </text>
    </comment>
    <comment ref="J55" authorId="0" shapeId="0" xr:uid="{00000000-0006-0000-0200-00000F000000}">
      <text>
        <r>
          <rPr>
            <b/>
            <sz val="14"/>
            <color indexed="81"/>
            <rFont val="Tahoma"/>
            <family val="2"/>
          </rPr>
          <t>Petrillo-Groh, Laura:</t>
        </r>
        <r>
          <rPr>
            <sz val="14"/>
            <color indexed="81"/>
            <rFont val="Tahoma"/>
            <family val="2"/>
          </rPr>
          <t xml:space="preserve">
Applied Eq 5.2 from TSD with 2% increase in EER for 5% cost increase.</t>
        </r>
      </text>
    </comment>
    <comment ref="D56" authorId="0" shapeId="0" xr:uid="{00000000-0006-0000-0200-000010000000}">
      <text>
        <r>
          <rPr>
            <b/>
            <sz val="12"/>
            <color indexed="81"/>
            <rFont val="Tahoma"/>
            <family val="2"/>
          </rPr>
          <t>Petrillo-Groh, Laura:</t>
        </r>
        <r>
          <rPr>
            <sz val="12"/>
            <color indexed="81"/>
            <rFont val="Tahoma"/>
            <family val="2"/>
          </rPr>
          <t xml:space="preserve">
% Energy Use Reduction based on member test replacing 6.5 EER compressor with a 6.9 EER compressor supplied by another compressor manufacturer.</t>
        </r>
      </text>
    </comment>
    <comment ref="F56" authorId="0" shapeId="0" xr:uid="{00000000-0006-0000-0200-000011000000}">
      <text>
        <r>
          <rPr>
            <b/>
            <sz val="12"/>
            <color indexed="81"/>
            <rFont val="Tahoma"/>
            <family val="2"/>
          </rPr>
          <t xml:space="preserve">Petrillo-Groh, Laura: </t>
        </r>
        <r>
          <rPr>
            <sz val="12"/>
            <color indexed="81"/>
            <rFont val="Tahoma"/>
            <family val="2"/>
          </rPr>
          <t xml:space="preserve">Member supplied test data is for two different compressors, the less efficient being 6.5 EER and the more efficient being 6.9 EER. DOE previously assumed a maximum of 6.6 EER.
</t>
        </r>
      </text>
    </comment>
    <comment ref="J56" authorId="0" shapeId="0" xr:uid="{00000000-0006-0000-0200-000012000000}">
      <text>
        <r>
          <rPr>
            <b/>
            <sz val="14"/>
            <color indexed="81"/>
            <rFont val="Tahoma"/>
            <family val="2"/>
          </rPr>
          <t>Petrillo-Groh, Laura:</t>
        </r>
        <r>
          <rPr>
            <sz val="14"/>
            <color indexed="81"/>
            <rFont val="Tahoma"/>
            <family val="2"/>
          </rPr>
          <t xml:space="preserve">
Applied Eq 5.2 from TSD with 2% increase in EER for 5% cost increase.</t>
        </r>
      </text>
    </comment>
    <comment ref="J76" authorId="0" shapeId="0" xr:uid="{00000000-0006-0000-0200-000013000000}">
      <text>
        <r>
          <rPr>
            <b/>
            <sz val="14"/>
            <color indexed="81"/>
            <rFont val="Tahoma"/>
            <family val="2"/>
          </rPr>
          <t>Petrillo-Groh, Laura:</t>
        </r>
        <r>
          <rPr>
            <sz val="14"/>
            <color indexed="81"/>
            <rFont val="Tahoma"/>
            <family val="2"/>
          </rPr>
          <t xml:space="preserve">
Applied Eq 5.2 from TSD with 2% increase in EER for 5% cost increase.</t>
        </r>
      </text>
    </comment>
    <comment ref="B80" authorId="0" shapeId="0" xr:uid="{00000000-0006-0000-0200-000014000000}">
      <text>
        <r>
          <rPr>
            <b/>
            <sz val="12"/>
            <color indexed="81"/>
            <rFont val="Tahoma"/>
            <family val="2"/>
          </rPr>
          <t xml:space="preserve">Petrillo-Groh, Laura: </t>
        </r>
        <r>
          <rPr>
            <sz val="12"/>
            <color indexed="81"/>
            <rFont val="Tahoma"/>
            <family val="2"/>
          </rPr>
          <t xml:space="preserve">Relocated design option so sheet would calculate.
</t>
        </r>
      </text>
    </comment>
    <comment ref="E80" authorId="0" shapeId="0" xr:uid="{00000000-0006-0000-0200-000015000000}">
      <text>
        <r>
          <rPr>
            <b/>
            <sz val="12"/>
            <color indexed="81"/>
            <rFont val="Tahoma"/>
            <family val="2"/>
          </rPr>
          <t>Petrillo-Groh, Laura:</t>
        </r>
        <r>
          <rPr>
            <sz val="12"/>
            <color indexed="81"/>
            <rFont val="Tahoma"/>
            <family val="2"/>
          </rPr>
          <t xml:space="preserve">
Reduced to 0%, refer to F80.</t>
        </r>
      </text>
    </comment>
    <comment ref="F80" authorId="0" shapeId="0" xr:uid="{00000000-0006-0000-0200-000016000000}">
      <text>
        <r>
          <rPr>
            <b/>
            <sz val="12"/>
            <color indexed="81"/>
            <rFont val="Tahoma"/>
            <family val="2"/>
          </rPr>
          <t>Petrillo-Groh, Laura:</t>
        </r>
        <r>
          <rPr>
            <sz val="12"/>
            <color indexed="81"/>
            <rFont val="Tahoma"/>
            <family val="2"/>
          </rPr>
          <t xml:space="preserve">
Nearly 50% of all IMH-W-Small-B units sold are 22-inches wide. Theses units cannot accommodate an increase condenser length of 32% without in increase in chassis size, which is not possible in these size restricted units. This design option should be screened out for IMH-W-Small-B.</t>
        </r>
      </text>
    </comment>
    <comment ref="B81" authorId="0" shapeId="0" xr:uid="{00000000-0006-0000-0200-000017000000}">
      <text>
        <r>
          <rPr>
            <b/>
            <sz val="12"/>
            <color indexed="81"/>
            <rFont val="Tahoma"/>
            <family val="2"/>
          </rPr>
          <t xml:space="preserve">Petrillo-Groh, Laura: </t>
        </r>
        <r>
          <rPr>
            <sz val="12"/>
            <color indexed="81"/>
            <rFont val="Tahoma"/>
            <family val="2"/>
          </rPr>
          <t xml:space="preserve">Relocated design option so sheet would calculate.
</t>
        </r>
      </text>
    </comment>
    <comment ref="E81" authorId="0" shapeId="0" xr:uid="{00000000-0006-0000-0200-000018000000}">
      <text>
        <r>
          <rPr>
            <b/>
            <sz val="12"/>
            <color indexed="81"/>
            <rFont val="Tahoma"/>
            <family val="2"/>
          </rPr>
          <t>Petrillo-Groh, Laura:</t>
        </r>
        <r>
          <rPr>
            <sz val="12"/>
            <color indexed="81"/>
            <rFont val="Tahoma"/>
            <family val="2"/>
          </rPr>
          <t xml:space="preserve">
Reduced to 0%, refer to F81.</t>
        </r>
      </text>
    </comment>
    <comment ref="F81" authorId="0" shapeId="0" xr:uid="{00000000-0006-0000-0200-000019000000}">
      <text>
        <r>
          <rPr>
            <b/>
            <sz val="12"/>
            <color indexed="81"/>
            <rFont val="Tahoma"/>
            <family val="2"/>
          </rPr>
          <t>Petrillo-Groh, Laura:</t>
        </r>
        <r>
          <rPr>
            <sz val="12"/>
            <color indexed="81"/>
            <rFont val="Tahoma"/>
            <family val="2"/>
          </rPr>
          <t xml:space="preserve">
Nearly 50% of all IMH-W-Small-B units sold are 22-inches wide. Similar to the IMH-A-Small-B equipment, these units cannot accommodate a 47% increase in evaporator area without in increase in chassis size, which is not possible in these size restricted units. This design option should be screened out for IMH-W-Small-B.</t>
        </r>
      </text>
    </comment>
    <comment ref="J97" authorId="0" shapeId="0" xr:uid="{00000000-0006-0000-0200-00001A000000}">
      <text>
        <r>
          <rPr>
            <b/>
            <sz val="14"/>
            <color indexed="81"/>
            <rFont val="Tahoma"/>
            <family val="2"/>
          </rPr>
          <t>Petrillo-Groh, Laura:</t>
        </r>
        <r>
          <rPr>
            <sz val="14"/>
            <color indexed="81"/>
            <rFont val="Tahoma"/>
            <family val="2"/>
          </rPr>
          <t xml:space="preserve">
Applied Eq 5.2 from TSD with 2% increase in EER for 5% cost increase.</t>
        </r>
      </text>
    </comment>
    <comment ref="D98" authorId="0" shapeId="0" xr:uid="{00000000-0006-0000-0200-00001B000000}">
      <text>
        <r>
          <rPr>
            <b/>
            <sz val="12"/>
            <color indexed="81"/>
            <rFont val="Tahoma"/>
            <family val="2"/>
          </rPr>
          <t>Petrillo-Groh, Laura:</t>
        </r>
        <r>
          <rPr>
            <sz val="12"/>
            <color indexed="81"/>
            <rFont val="Tahoma"/>
            <family val="2"/>
          </rPr>
          <t xml:space="preserve">
 Used equation generated from member supplied test data for increase in efficiency from 6.2 to 6.7 EER. Based on test data, gains in energy savings are not as significant as compressor efficiency increases. See Compressor EER tab for details.</t>
        </r>
      </text>
    </comment>
    <comment ref="J98" authorId="0" shapeId="0" xr:uid="{00000000-0006-0000-0200-00001C000000}">
      <text>
        <r>
          <rPr>
            <b/>
            <sz val="14"/>
            <color indexed="81"/>
            <rFont val="Tahoma"/>
            <family val="2"/>
          </rPr>
          <t>Petrillo-Groh, Laura:</t>
        </r>
        <r>
          <rPr>
            <sz val="14"/>
            <color indexed="81"/>
            <rFont val="Tahoma"/>
            <family val="2"/>
          </rPr>
          <t xml:space="preserve">
Applied Eq 5.2 from TSD with 2% increase in EER for 5% cost increase.</t>
        </r>
      </text>
    </comment>
    <comment ref="J118" authorId="0" shapeId="0" xr:uid="{00000000-0006-0000-0200-00001D000000}">
      <text>
        <r>
          <rPr>
            <b/>
            <sz val="14"/>
            <color indexed="81"/>
            <rFont val="Tahoma"/>
            <family val="2"/>
          </rPr>
          <t>Petrillo-Groh, Laura:</t>
        </r>
        <r>
          <rPr>
            <sz val="14"/>
            <color indexed="81"/>
            <rFont val="Tahoma"/>
            <family val="2"/>
          </rPr>
          <t xml:space="preserve">
Applied Eq 5.2 from TSD with 2% increase in EER for 5% cost increase.</t>
        </r>
      </text>
    </comment>
    <comment ref="D119" authorId="0" shapeId="0" xr:uid="{00000000-0006-0000-0200-00001E000000}">
      <text>
        <r>
          <rPr>
            <b/>
            <sz val="12"/>
            <color indexed="81"/>
            <rFont val="Tahoma"/>
            <family val="2"/>
          </rPr>
          <t>Petrillo-Groh, Laura:</t>
        </r>
        <r>
          <rPr>
            <sz val="12"/>
            <color indexed="81"/>
            <rFont val="Tahoma"/>
            <family val="2"/>
          </rPr>
          <t xml:space="preserve">
Used equation generated by back checking DOE efficiency gains for compressor increases for increase of 6.1 to 6.2 EER. Used equation generated from member supplied test data for increase in efficiency from 6.2 to 6.5 EER. Based on test data, gains in energy savings are not as significant as compressor efficiency increases. See Compressor EER tab for details.</t>
        </r>
      </text>
    </comment>
    <comment ref="J119" authorId="0" shapeId="0" xr:uid="{00000000-0006-0000-0200-00001F000000}">
      <text>
        <r>
          <rPr>
            <b/>
            <sz val="14"/>
            <color indexed="81"/>
            <rFont val="Tahoma"/>
            <family val="2"/>
          </rPr>
          <t>Petrillo-Groh, Laura:</t>
        </r>
        <r>
          <rPr>
            <sz val="14"/>
            <color indexed="81"/>
            <rFont val="Tahoma"/>
            <family val="2"/>
          </rPr>
          <t xml:space="preserve">
Applied Eq 5.2 from TSD with 2% increase in EER for 5% cost increase.</t>
        </r>
      </text>
    </comment>
    <comment ref="D138" authorId="0" shapeId="0" xr:uid="{00000000-0006-0000-0200-000020000000}">
      <text>
        <r>
          <rPr>
            <b/>
            <sz val="12"/>
            <color indexed="81"/>
            <rFont val="Tahoma"/>
            <family val="2"/>
          </rPr>
          <t>Petrillo-Groh, Laura:</t>
        </r>
        <r>
          <rPr>
            <sz val="12"/>
            <color indexed="81"/>
            <rFont val="Tahoma"/>
            <family val="2"/>
          </rPr>
          <t xml:space="preserve">
Used equation generated from member supplied test data for increase in efficiency. Based on test data, gains in energy savings are not as significant as compressor efficiency increases. See Compressor EER tab for details.</t>
        </r>
      </text>
    </comment>
    <comment ref="J138" authorId="0" shapeId="0" xr:uid="{00000000-0006-0000-0200-000021000000}">
      <text>
        <r>
          <rPr>
            <b/>
            <sz val="14"/>
            <color indexed="81"/>
            <rFont val="Tahoma"/>
            <family val="2"/>
          </rPr>
          <t>Petrillo-Groh, Laura:</t>
        </r>
        <r>
          <rPr>
            <sz val="14"/>
            <color indexed="81"/>
            <rFont val="Tahoma"/>
            <family val="2"/>
          </rPr>
          <t xml:space="preserve">
Applied Eq 5.2 from TSD with 2% increase in EER for 5% cost increase.</t>
        </r>
      </text>
    </comment>
    <comment ref="D158" authorId="0" shapeId="0" xr:uid="{00000000-0006-0000-0200-000022000000}">
      <text>
        <r>
          <rPr>
            <b/>
            <sz val="12"/>
            <color indexed="81"/>
            <rFont val="Tahoma"/>
            <family val="2"/>
          </rPr>
          <t>Petrillo-Groh, Laura:</t>
        </r>
        <r>
          <rPr>
            <sz val="12"/>
            <color indexed="81"/>
            <rFont val="Tahoma"/>
            <family val="2"/>
          </rPr>
          <t xml:space="preserve">
Used equation generated by back checking DOE efficiency gains for compressor increases for original increase of 5.85 to 6.1 EER. Used equation generated from member supplied test data for increase in efficiency from 6.1 to 6.2 EER. Based on test data, gains in energy savings are not as significant as compressor efficiency increases. See Compressor EER tab for details.</t>
        </r>
      </text>
    </comment>
    <comment ref="F158" authorId="0" shapeId="0" xr:uid="{00000000-0006-0000-0200-000023000000}">
      <text>
        <r>
          <rPr>
            <b/>
            <sz val="12"/>
            <color indexed="81"/>
            <rFont val="Tahoma"/>
            <family val="2"/>
          </rPr>
          <t>Petrillo-Groh, Laura:</t>
        </r>
        <r>
          <rPr>
            <sz val="12"/>
            <color indexed="81"/>
            <rFont val="Tahoma"/>
            <family val="2"/>
          </rPr>
          <t xml:space="preserve">
This had been 5.85 to 6.1, however, the increase was changed to 6.2 to provide consistency.</t>
        </r>
      </text>
    </comment>
    <comment ref="J158" authorId="0" shapeId="0" xr:uid="{00000000-0006-0000-0200-000024000000}">
      <text>
        <r>
          <rPr>
            <b/>
            <sz val="14"/>
            <color indexed="81"/>
            <rFont val="Tahoma"/>
            <family val="2"/>
          </rPr>
          <t>Petrillo-Groh, Laura:</t>
        </r>
        <r>
          <rPr>
            <sz val="14"/>
            <color indexed="81"/>
            <rFont val="Tahoma"/>
            <family val="2"/>
          </rPr>
          <t xml:space="preserve">
Applied Eq 5.2 from TSD with 2% increase in EER for 5% cost increase.</t>
        </r>
      </text>
    </comment>
    <comment ref="D159" authorId="0" shapeId="0" xr:uid="{00000000-0006-0000-0200-000025000000}">
      <text>
        <r>
          <rPr>
            <b/>
            <sz val="12"/>
            <color indexed="81"/>
            <rFont val="Tahoma"/>
            <family val="2"/>
          </rPr>
          <t>Petrillo-Groh, Laura:</t>
        </r>
        <r>
          <rPr>
            <sz val="12"/>
            <color indexed="81"/>
            <rFont val="Tahoma"/>
            <family val="2"/>
          </rPr>
          <t xml:space="preserve">
% Energy Use Reduction based on member test replacing 6.2 EER compressor with a 6.5 EER compressor supplied by another compressor manufacturer.</t>
        </r>
      </text>
    </comment>
    <comment ref="J159" authorId="0" shapeId="0" xr:uid="{00000000-0006-0000-0200-000026000000}">
      <text>
        <r>
          <rPr>
            <b/>
            <sz val="14"/>
            <color indexed="81"/>
            <rFont val="Tahoma"/>
            <family val="2"/>
          </rPr>
          <t>Petrillo-Groh, Laura:</t>
        </r>
        <r>
          <rPr>
            <sz val="14"/>
            <color indexed="81"/>
            <rFont val="Tahoma"/>
            <family val="2"/>
          </rPr>
          <t xml:space="preserve">
Applied Eq 5.2 from TSD with 2% increase in EER for 5% cost increase.</t>
        </r>
      </text>
    </comment>
    <comment ref="D178" authorId="0" shapeId="0" xr:uid="{00000000-0006-0000-0200-000027000000}">
      <text>
        <r>
          <rPr>
            <b/>
            <sz val="12"/>
            <color indexed="81"/>
            <rFont val="Tahoma"/>
            <family val="2"/>
          </rPr>
          <t>Petrillo-Groh, Laura:</t>
        </r>
        <r>
          <rPr>
            <sz val="12"/>
            <color indexed="81"/>
            <rFont val="Tahoma"/>
            <family val="2"/>
          </rPr>
          <t xml:space="preserve">
Used equation generated from member supplied test data for increase in efficiency. Based on test data, gains in energy savings are not as significant as compressor efficiency increases. See Compressor EER tab for details.</t>
        </r>
      </text>
    </comment>
    <comment ref="J178" authorId="0" shapeId="0" xr:uid="{00000000-0006-0000-0200-000028000000}">
      <text>
        <r>
          <rPr>
            <b/>
            <sz val="14"/>
            <color indexed="81"/>
            <rFont val="Tahoma"/>
            <family val="2"/>
          </rPr>
          <t>Petrillo-Groh, Laura:</t>
        </r>
        <r>
          <rPr>
            <sz val="14"/>
            <color indexed="81"/>
            <rFont val="Tahoma"/>
            <family val="2"/>
          </rPr>
          <t xml:space="preserve">
Applied Eq 5.2 from TSD with 2% increase in EER for 5% cost increase.</t>
        </r>
      </text>
    </comment>
    <comment ref="J202" authorId="0" shapeId="0" xr:uid="{00000000-0006-0000-0200-000029000000}">
      <text>
        <r>
          <rPr>
            <b/>
            <sz val="14"/>
            <color indexed="81"/>
            <rFont val="Tahoma"/>
            <family val="2"/>
          </rPr>
          <t>Petrillo-Groh, Laura:</t>
        </r>
        <r>
          <rPr>
            <sz val="14"/>
            <color indexed="81"/>
            <rFont val="Tahoma"/>
            <family val="2"/>
          </rPr>
          <t xml:space="preserve">
Applied Eq 5.2 from TSD with 2% increase in EER for 5% cost increase.</t>
        </r>
      </text>
    </comment>
    <comment ref="J222" authorId="0" shapeId="0" xr:uid="{00000000-0006-0000-0200-00002A000000}">
      <text>
        <r>
          <rPr>
            <b/>
            <sz val="14"/>
            <color indexed="81"/>
            <rFont val="Tahoma"/>
            <family val="2"/>
          </rPr>
          <t>Petrillo-Groh, Laura:</t>
        </r>
        <r>
          <rPr>
            <sz val="14"/>
            <color indexed="81"/>
            <rFont val="Tahoma"/>
            <family val="2"/>
          </rPr>
          <t xml:space="preserve">
Applied Eq 5.2 from TSD with 2% increase in EER for 5% cost increase.</t>
        </r>
      </text>
    </comment>
    <comment ref="J246" authorId="0" shapeId="0" xr:uid="{00000000-0006-0000-0200-00002B000000}">
      <text>
        <r>
          <rPr>
            <b/>
            <sz val="14"/>
            <color indexed="81"/>
            <rFont val="Tahoma"/>
            <family val="2"/>
          </rPr>
          <t>Petrillo-Groh, Laura:</t>
        </r>
        <r>
          <rPr>
            <sz val="14"/>
            <color indexed="81"/>
            <rFont val="Tahoma"/>
            <family val="2"/>
          </rPr>
          <t xml:space="preserve">
Applied Eq 5.2 from TSD with 2% increase in EER for 5% cost increase.</t>
        </r>
      </text>
    </comment>
    <comment ref="J269" authorId="0" shapeId="0" xr:uid="{00000000-0006-0000-0200-00002C000000}">
      <text>
        <r>
          <rPr>
            <b/>
            <sz val="14"/>
            <color indexed="81"/>
            <rFont val="Tahoma"/>
            <family val="2"/>
          </rPr>
          <t>Petrillo-Groh, Laura:</t>
        </r>
        <r>
          <rPr>
            <sz val="14"/>
            <color indexed="81"/>
            <rFont val="Tahoma"/>
            <family val="2"/>
          </rPr>
          <t xml:space="preserve">
Applied Eq 5.2 from TSD with 2% increase in EER for 5% cost increase.</t>
        </r>
      </text>
    </comment>
    <comment ref="B273" authorId="0" shapeId="0" xr:uid="{00000000-0006-0000-0200-00002D000000}">
      <text>
        <r>
          <rPr>
            <b/>
            <sz val="12"/>
            <color indexed="81"/>
            <rFont val="Tahoma"/>
            <family val="2"/>
          </rPr>
          <t xml:space="preserve">Petrillo-Groh, Laura: </t>
        </r>
        <r>
          <rPr>
            <sz val="12"/>
            <color indexed="81"/>
            <rFont val="Tahoma"/>
            <family val="2"/>
          </rPr>
          <t xml:space="preserve">Relocated design option so sheet would calculate.
</t>
        </r>
      </text>
    </comment>
    <comment ref="E273" authorId="0" shapeId="0" xr:uid="{00000000-0006-0000-0200-00002E000000}">
      <text>
        <r>
          <rPr>
            <b/>
            <sz val="12"/>
            <color indexed="81"/>
            <rFont val="Tahoma"/>
            <family val="2"/>
          </rPr>
          <t>Petrillo-Groh, Laura:</t>
        </r>
        <r>
          <rPr>
            <sz val="12"/>
            <color indexed="81"/>
            <rFont val="Tahoma"/>
            <family val="2"/>
          </rPr>
          <t xml:space="preserve">
Reduced to 0%, refer to F81.</t>
        </r>
      </text>
    </comment>
    <comment ref="F273" authorId="0" shapeId="0" xr:uid="{00000000-0006-0000-0200-00002F000000}">
      <text>
        <r>
          <rPr>
            <b/>
            <sz val="12"/>
            <color indexed="81"/>
            <rFont val="Tahoma"/>
            <family val="2"/>
          </rPr>
          <t>Petrillo-Groh, Laura:</t>
        </r>
        <r>
          <rPr>
            <sz val="12"/>
            <color indexed="81"/>
            <rFont val="Tahoma"/>
            <family val="2"/>
          </rPr>
          <t xml:space="preserve">
22-inch wide units IMH-A-Small-C typically use the same cabinet as the IMH-A-Small-B. Similar to the IMH-A-Small-B equipment that cannot accommodate an in increase in chassis size, which is not possible in these size restricted units. This design option should be screened out for IMH-W-Small-C.</t>
        </r>
      </text>
    </comment>
    <comment ref="J292" authorId="0" shapeId="0" xr:uid="{00000000-0006-0000-0200-000030000000}">
      <text>
        <r>
          <rPr>
            <b/>
            <sz val="14"/>
            <color indexed="81"/>
            <rFont val="Tahoma"/>
            <family val="2"/>
          </rPr>
          <t>Petrillo-Groh, Laura:</t>
        </r>
        <r>
          <rPr>
            <sz val="14"/>
            <color indexed="81"/>
            <rFont val="Tahoma"/>
            <family val="2"/>
          </rPr>
          <t xml:space="preserve">
Applied Eq 5.2 from TSD with 2% increase in EER for 5% cost increase.</t>
        </r>
      </text>
    </comment>
    <comment ref="J314" authorId="0" shapeId="0" xr:uid="{00000000-0006-0000-0200-000031000000}">
      <text>
        <r>
          <rPr>
            <b/>
            <sz val="14"/>
            <color indexed="81"/>
            <rFont val="Tahoma"/>
            <family val="2"/>
          </rPr>
          <t>Petrillo-Groh, Laura:</t>
        </r>
        <r>
          <rPr>
            <sz val="14"/>
            <color indexed="81"/>
            <rFont val="Tahoma"/>
            <family val="2"/>
          </rPr>
          <t xml:space="preserve">
Applied Eq 5.2 from TSD with 2% increase in EER for 5% cost increase.</t>
        </r>
      </text>
    </comment>
  </commentList>
</comments>
</file>

<file path=xl/sharedStrings.xml><?xml version="1.0" encoding="utf-8"?>
<sst xmlns="http://schemas.openxmlformats.org/spreadsheetml/2006/main" count="1519" uniqueCount="214">
  <si>
    <t>Max Available</t>
  </si>
  <si>
    <t>Condenser Water (gal/100 lb)</t>
  </si>
  <si>
    <t>EL3</t>
  </si>
  <si>
    <t>EL4</t>
  </si>
  <si>
    <t>EL5</t>
  </si>
  <si>
    <t>EL6</t>
  </si>
  <si>
    <t>IMH-W-***-B</t>
  </si>
  <si>
    <t>IMH-A-***-C</t>
  </si>
  <si>
    <t>Small</t>
  </si>
  <si>
    <t>Medium</t>
  </si>
  <si>
    <t>Large</t>
  </si>
  <si>
    <t>IMH-A-***-B</t>
  </si>
  <si>
    <t>NA</t>
  </si>
  <si>
    <t>SCU-W-***-B</t>
  </si>
  <si>
    <t>SCU-A-***-B</t>
  </si>
  <si>
    <t>EL2</t>
  </si>
  <si>
    <t>SCU-A-***-C</t>
  </si>
  <si>
    <t>Energy Consumption kWh/100 lb</t>
  </si>
  <si>
    <t>Percent Energy Use Reduction</t>
  </si>
  <si>
    <t>Design Options Successively Added</t>
  </si>
  <si>
    <t>Baseline</t>
  </si>
  <si>
    <t>Baseline Energy Consumption kWh/100 lb</t>
  </si>
  <si>
    <t>Percent Energy Use Less Than Baseline</t>
  </si>
  <si>
    <t>Percent Energy Use Reduction (Old)</t>
  </si>
  <si>
    <t>Cumulative Cost</t>
  </si>
  <si>
    <t>Individual Cost</t>
  </si>
  <si>
    <t>Impact on Unit MPC</t>
  </si>
  <si>
    <t>MPC of Component Prior to Change</t>
  </si>
  <si>
    <t>Component Information</t>
  </si>
  <si>
    <t>Component</t>
  </si>
  <si>
    <t>Compressor</t>
  </si>
  <si>
    <t>Condenser</t>
  </si>
  <si>
    <t>Fan Motor</t>
  </si>
  <si>
    <t>Pump Motor</t>
  </si>
  <si>
    <t>Auger Motor</t>
  </si>
  <si>
    <t>MSP ($)</t>
  </si>
  <si>
    <t>IMH-W-Small-B</t>
  </si>
  <si>
    <t>IMH-A-Small-B</t>
  </si>
  <si>
    <t>SCU-W-Large-B</t>
  </si>
  <si>
    <t>SCU-A-Small-B</t>
  </si>
  <si>
    <t>SCU-A-Large-B</t>
  </si>
  <si>
    <t>IMH-A-Small-C</t>
  </si>
  <si>
    <t>IMH-A-Large-C</t>
  </si>
  <si>
    <t>SCU-A-Small-C</t>
  </si>
  <si>
    <t>IMH-W-Medium-B</t>
  </si>
  <si>
    <t>IMH-A-Large-B-1</t>
  </si>
  <si>
    <t>IMH-A-Large-B-2</t>
  </si>
  <si>
    <t>IMH-W-Large-B-2</t>
  </si>
  <si>
    <t>RCU-NRC-Large-B-1</t>
  </si>
  <si>
    <t>RCU-NRC-Large-B-2</t>
  </si>
  <si>
    <t>Large-2</t>
  </si>
  <si>
    <t>Increase Compressor EER from 4.86 to 5.25</t>
  </si>
  <si>
    <t>Increase Condenser Width by 2"</t>
  </si>
  <si>
    <t>Increase Evaporator Area by 51% (with chassis growth)</t>
  </si>
  <si>
    <t>Switch to PSC Condenser Fan Motor</t>
  </si>
  <si>
    <t>Switch to ECM Condenser Fan Motor</t>
  </si>
  <si>
    <t>Increase Condenser Height by 3"</t>
  </si>
  <si>
    <t>Switch to ECM Pump Motor</t>
  </si>
  <si>
    <t>Drain Water Heat Exchanger</t>
  </si>
  <si>
    <t>Evaporator</t>
  </si>
  <si>
    <t>MPC ($)</t>
  </si>
  <si>
    <t>Des. Option No.</t>
  </si>
  <si>
    <t>Baseline Energy Use from Std =</t>
  </si>
  <si>
    <t>Rep. Harvest Rate</t>
  </si>
  <si>
    <t>Eff. Lvl. No.</t>
  </si>
  <si>
    <t>Reduc. From Baseline</t>
  </si>
  <si>
    <t>Incremental MPC</t>
  </si>
  <si>
    <t>Numbers for alternate interpolation</t>
  </si>
  <si>
    <t>[ 10.26-0.0086*H ]</t>
  </si>
  <si>
    <t>EL1</t>
  </si>
  <si>
    <t>EL7</t>
  </si>
  <si>
    <t>[ 6.89-0.0011*H ]</t>
  </si>
  <si>
    <t>Increase Compressor EER from 5.78 to 6.2</t>
  </si>
  <si>
    <t>Increase Compressor EER from 6.2 to 6.7</t>
  </si>
  <si>
    <t>Change to Batch Water Fill</t>
  </si>
  <si>
    <t>Controls</t>
  </si>
  <si>
    <t>Increase Condenser Height by 3" (with chassis growth)</t>
  </si>
  <si>
    <t>Increase Condenser Width by 3.25"</t>
  </si>
  <si>
    <t>Large-1</t>
  </si>
  <si>
    <t>Increase Compressor EER from 5.85 to 6.1</t>
  </si>
  <si>
    <t>Increase Compressor EER from 6.1 to 6.6</t>
  </si>
  <si>
    <t>Increase Condenser Width by 6", Add One Additional Condenser Row</t>
  </si>
  <si>
    <t>Manufacturing Cost and Energy Consumption Data for Water-Cooled IMH Batch Ice Machines with Capacities less than 500 lb/24 hours</t>
  </si>
  <si>
    <t>Increase Condenser Length by 32%</t>
  </si>
  <si>
    <t>Increase Evaporator Area by 47%</t>
  </si>
  <si>
    <t xml:space="preserve">MSP </t>
  </si>
  <si>
    <t>Increase Compressor EER from 5.84 to 6.2</t>
  </si>
  <si>
    <t>Increase Condenser Length by 17%</t>
  </si>
  <si>
    <t>Manufacturing Cost and Energy Consumption Data for Water-Cooled IMH Batch Ice Machines with Capacities between 500 and 1436 lb/24 hours</t>
  </si>
  <si>
    <t>Manufacturing Cost and Energy Consumption Data for Air-Cooled IMH Batch Ice Machines with Capacities less than 450 lb/24 hours</t>
  </si>
  <si>
    <t>Manufacturing Cost and Energy Consumption Data for Air-Cooled IMH Batch Ice Machines with Capacities greater than 450 lb/24 hours (Smaller Sizes)</t>
  </si>
  <si>
    <t>Manufacturing Cost and Energy Consumption Data for Air-Cooled IMH Batch Ice Machines with Capacities greater than 450 lb/24 hours (Larger Sizes)</t>
  </si>
  <si>
    <t>[ 5.58-0.0011*H ]</t>
  </si>
  <si>
    <t>IMH-W-Large-B-1</t>
  </si>
  <si>
    <t>[ 4.0 ]</t>
  </si>
  <si>
    <t>Manufacturing Cost and Energy Consumption Data for Water-Cooled IMH Batch Ice Machines with Capacities greater than 1436 lb/24 hours (Larger Sizes)</t>
  </si>
  <si>
    <t>Increase compressor EER from 6.66 to 6.84</t>
  </si>
  <si>
    <t>Increase Condenser Length by 18%</t>
  </si>
  <si>
    <t>Switch to ECM Pump Motors (2)</t>
  </si>
  <si>
    <t>Manufacturing Cost and Energy Consumption Data for Air-Cooled RCU Batch Ice Machines with Capacities greater than 1000 lb/24 hours (Smaller Sizes)</t>
  </si>
  <si>
    <t>Increase Condenser Height by 3" (with unit growth)</t>
  </si>
  <si>
    <t>Increase Condenser Width by 5"  (with unit growth)</t>
  </si>
  <si>
    <t>Switch to ECM Fan Motor</t>
  </si>
  <si>
    <t>Increase Condenser Width by 6"  (with unit growth)</t>
  </si>
  <si>
    <t>Manufacturing Cost and Energy Consumption Data for Air-Cooled RCU Batch Ice Machines with Capacities greater than 1000 lb/24 hours (Larger Sizes)</t>
  </si>
  <si>
    <t>[ 5.1 ]</t>
  </si>
  <si>
    <t>Increase compressor EER from 6.5 to 6.84</t>
  </si>
  <si>
    <t>Increase Condenser Width by 19", Add One Additional Condenser Row and One Extra Fan</t>
  </si>
  <si>
    <t>Increase Condenser Width by 10" (with unit growth)</t>
  </si>
  <si>
    <t>Switch to ECM Condenser Fan Motors (2)</t>
  </si>
  <si>
    <t>[ 18.0-0.0469*H ]</t>
  </si>
  <si>
    <t>Increase condenser width by 2.5”, Add One Additional Condenser Row</t>
  </si>
  <si>
    <t>Increase compressor EER from 3.3 to 4.4</t>
  </si>
  <si>
    <t>Manufacturing Cost and Energy Consumption Data for Air-Cooled SCU Batch Ice Machines with Capacities less than 175 lb/24 hours</t>
  </si>
  <si>
    <t>[ 9.8 ]</t>
  </si>
  <si>
    <t>Manufacturing Cost and Energy Consumption Data for Air-Cooled SCU Batch Ice Machines with Capacities greater than 175 lb/24 hours</t>
  </si>
  <si>
    <t>Increase condenser width by 9"</t>
  </si>
  <si>
    <t>[ 7.6 ]</t>
  </si>
  <si>
    <t>Manufacturing Cost and Energy Consumption Data for Water-Cooled SCU Batch Ice Machines with Capacities greater than 200 lb/24 hours (Smaller Sizes)</t>
  </si>
  <si>
    <t>Increase Condenser Length by 39%</t>
  </si>
  <si>
    <t>MSP &amp;  Incr. MSP</t>
  </si>
  <si>
    <t>Potable Water - Cont. (gal/100 lb)</t>
  </si>
  <si>
    <t>Potable Water-batch (gal/100 lb)</t>
  </si>
  <si>
    <t>Potable Water (gal/100lb)</t>
  </si>
  <si>
    <t>Manufacturing Cost and Energy Consumption Data for Air-Cooled IMH Continuous Ice Machines with Capacities less than 700 lb/24 hours</t>
  </si>
  <si>
    <t>Switched to PSC Fan Motor</t>
  </si>
  <si>
    <t>Increased compressor EER from 4.68 to 5.5</t>
  </si>
  <si>
    <t>Increased condenser width by 3.5"</t>
  </si>
  <si>
    <t>Increase evaporator area by 17% and increase condenser height by 4" (with chassis increase)</t>
  </si>
  <si>
    <t>Manufacturing Cost and Energy Consumption Data for Air-Cooled IMH Continuous Ice Machines with Capacities greater than 700 lb/24 hours (Smaller Sizes)</t>
  </si>
  <si>
    <t>Increase Condenser Width by 3", Increase Tube Rows by 1</t>
  </si>
  <si>
    <t>Increase Compressor EER from 5.08 to 6.3</t>
  </si>
  <si>
    <t>Manufacturing Cost and Energy Consumption Data for Air-Cooled SCU Continuous Ice Machines with Capacities less than 700 lb/24 hours</t>
  </si>
  <si>
    <t>Increased condenser rows to 4 from 3, larger motor</t>
  </si>
  <si>
    <t>Changed compressor EER from 4.7 to 5.5</t>
  </si>
  <si>
    <t>Switched to ECM Fan Motor</t>
  </si>
  <si>
    <t>Switched to ECM Auger Motor</t>
  </si>
  <si>
    <t>Increase compressor EER from 4.59 to 5.2</t>
  </si>
  <si>
    <t>[ 7.79-0.0055*H ]</t>
  </si>
  <si>
    <t>Increase compressor EER from 4.38 to 5.2</t>
  </si>
  <si>
    <t>Increase compressor EER from 4.86 to 5.25</t>
  </si>
  <si>
    <t>[ 11.0-0.00629*H ]</t>
  </si>
  <si>
    <t>[ 6.6 ]</t>
  </si>
  <si>
    <t>[ 11.5-0.00629*H ]</t>
  </si>
  <si>
    <t>Cost-Efficiency Curve Results: Incremental MPC Results for Batch Ice Makers</t>
  </si>
  <si>
    <t>Equipment Class</t>
  </si>
  <si>
    <t>Baseline MPC</t>
  </si>
  <si>
    <t>Baseline MSP</t>
  </si>
  <si>
    <t>Potable Water (gal/100 lb)</t>
  </si>
  <si>
    <t>Representative Harvest Capacity lb/24 hours</t>
  </si>
  <si>
    <t>Max Tech</t>
  </si>
  <si>
    <t>Level</t>
  </si>
  <si>
    <t>Cost</t>
  </si>
  <si>
    <t>Not Analyzed</t>
  </si>
  <si>
    <t>RCU-***-***-B</t>
  </si>
  <si>
    <t>Cost-Efficiency Curve Results: Incremental MPC Results for Continuous Ice Makers</t>
  </si>
  <si>
    <t>IMH-W-***-C</t>
  </si>
  <si>
    <t>RCU-***-***-C</t>
  </si>
  <si>
    <t>Batch Std.</t>
  </si>
  <si>
    <t>(-7%)</t>
  </si>
  <si>
    <t>(-17%)</t>
  </si>
  <si>
    <t>(-22%)</t>
  </si>
  <si>
    <t>(-26%)</t>
  </si>
  <si>
    <t>(-30%)</t>
  </si>
  <si>
    <t>SCU-W-***-C</t>
  </si>
  <si>
    <t>(-3%)</t>
  </si>
  <si>
    <t>(-10%)</t>
  </si>
  <si>
    <t>(-16%)</t>
  </si>
  <si>
    <t>Increase Condenser Size</t>
  </si>
  <si>
    <t>Automatic Commercial Ice Maker ECS NOPR</t>
  </si>
  <si>
    <t>Engineering Analysis Summary</t>
  </si>
  <si>
    <t>Map of Analyzed Equipment Classes</t>
  </si>
  <si>
    <t>Directly Analyzed?</t>
  </si>
  <si>
    <t>Extrapolated Curve?</t>
  </si>
  <si>
    <t>-</t>
  </si>
  <si>
    <t>Yes</t>
  </si>
  <si>
    <t>No</t>
  </si>
  <si>
    <t>Large (A)</t>
  </si>
  <si>
    <t>Large (B)</t>
  </si>
  <si>
    <t>No Analysis</t>
  </si>
  <si>
    <t>Transcription of Cost Efficiency Curves To EL Levels</t>
  </si>
  <si>
    <t>Table of Costs by EL Level</t>
  </si>
  <si>
    <t>Batch Product Classes</t>
  </si>
  <si>
    <t>Continuous Product Classes</t>
  </si>
  <si>
    <t>Transcription for Summary Table</t>
  </si>
  <si>
    <t>Table of EL Levels</t>
  </si>
  <si>
    <t>Cost-Efficiency Curve Table</t>
  </si>
  <si>
    <t>Use Potable Water Design Option at Which EL?</t>
  </si>
  <si>
    <t>N/A</t>
  </si>
  <si>
    <t>Standard Equation:</t>
  </si>
  <si>
    <t>MSP Markup:</t>
  </si>
  <si>
    <t>Manufacturing Cost and Energy Consumption Data for Water-Cooled IMH Batch Ice Machines with Capacities greater than 1436 lb/24 hours (Smaller Sizes)</t>
  </si>
  <si>
    <t>Able to Interpolate?</t>
  </si>
  <si>
    <t>Original Water Level</t>
  </si>
  <si>
    <t>New Water Level</t>
  </si>
  <si>
    <t>Incremental MCP</t>
  </si>
  <si>
    <t>Increase Compressor EER from 6.2 to 6.5</t>
  </si>
  <si>
    <t>Compressor Increase EER</t>
  </si>
  <si>
    <t>% Energy Use Reduction</t>
  </si>
  <si>
    <t>IMH-A-Large-B2</t>
  </si>
  <si>
    <t>DOE</t>
  </si>
  <si>
    <t>% Energy Use Reduction from DOE Engineering Analysis</t>
  </si>
  <si>
    <t>Increase Compressor EER from 5.85 to 6.2</t>
  </si>
  <si>
    <t>Increase Compressor EER from 5.85 to 6.5</t>
  </si>
  <si>
    <t>Increase Compressor EER from 6.5 to 6.9</t>
  </si>
  <si>
    <t>% Energy Use Reduction using Equation generated by plotting Member test data</t>
  </si>
  <si>
    <t>% Energy Use Reduction using Equation generated by plotting DOE Compressor Data [back check on equation]</t>
  </si>
  <si>
    <t>Incremental % Energy Use Reduction</t>
  </si>
  <si>
    <t>Actual Ice Maker Energy Use Reduction Observed with an Increase in Compressor EER</t>
  </si>
  <si>
    <t>DOE
Max Tech</t>
  </si>
  <si>
    <t>AHRI
Max Tech</t>
  </si>
  <si>
    <t>Delta
Max Tech</t>
  </si>
  <si>
    <t>DOE Overestimate of Level</t>
  </si>
  <si>
    <t>DOE Underestimate of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</si>
</sst>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164" formatCode="&quot;$&quot;#,##0"/>
    <numFmt numFmtId="165" formatCode="0.0%"/>
    <numFmt numFmtId="166" formatCode="0.0"/>
    <numFmt numFmtId="167" formatCode="_(&quot;$&quot;* #,##0_);_(&quot;$&quot;* \(#,##0\);_(&quot;$&quot;* &quot;-&quot;??_);_(@_)"/>
    <numFmt numFmtId="168" formatCode="&quot;$&quot;#,##0.00"/>
    <numFmt numFmtId="169" formatCode="0.000%"/>
  </numFmts>
  <fonts count="31"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Arial"/>
      <family val="2"/>
    </font>
    <font>
      <sz val="11"/>
      <color rgb="FF000000"/>
      <name val="Arial"/>
      <family val="2"/>
    </font>
    <font>
      <b/>
      <sz val="12"/>
      <color theme="1"/>
      <name val="Times New Roman"/>
      <family val="1"/>
    </font>
    <font>
      <b/>
      <sz val="10"/>
      <color rgb="FF000000"/>
      <name val="Times New Roman"/>
      <family val="1"/>
    </font>
    <font>
      <sz val="10"/>
      <color rgb="FF000000"/>
      <name val="Times New Roman"/>
      <family val="1"/>
    </font>
    <font>
      <sz val="9"/>
      <color theme="1"/>
      <name val="Times New Roman"/>
      <family val="1"/>
    </font>
    <font>
      <b/>
      <sz val="10"/>
      <color theme="1"/>
      <name val="Times New Roman"/>
      <family val="1"/>
    </font>
    <font>
      <b/>
      <u/>
      <sz val="11"/>
      <color theme="1"/>
      <name val="Calibri"/>
      <family val="2"/>
      <scheme val="minor"/>
    </font>
    <font>
      <b/>
      <sz val="14"/>
      <color rgb="FF000000"/>
      <name val="Times New Roman"/>
      <family val="1"/>
    </font>
    <font>
      <sz val="18"/>
      <name val="Arial"/>
      <family val="2"/>
    </font>
    <font>
      <sz val="11"/>
      <name val="Arial"/>
      <family val="2"/>
    </font>
    <font>
      <sz val="11"/>
      <color theme="1"/>
      <name val="Arial"/>
      <family val="2"/>
    </font>
    <font>
      <b/>
      <sz val="14"/>
      <color rgb="FFFF0000"/>
      <name val="Calibri"/>
      <family val="2"/>
      <scheme val="minor"/>
    </font>
    <font>
      <b/>
      <sz val="16"/>
      <color theme="1"/>
      <name val="Calibri"/>
      <family val="2"/>
      <scheme val="minor"/>
    </font>
    <font>
      <i/>
      <sz val="14"/>
      <color theme="1"/>
      <name val="Calibri"/>
      <family val="2"/>
      <scheme val="minor"/>
    </font>
    <font>
      <sz val="14"/>
      <color theme="1"/>
      <name val="Calibri"/>
      <family val="2"/>
      <scheme val="minor"/>
    </font>
    <font>
      <b/>
      <sz val="11"/>
      <color rgb="FF00B050"/>
      <name val="Calibri"/>
      <family val="2"/>
      <scheme val="minor"/>
    </font>
    <font>
      <b/>
      <i/>
      <sz val="11"/>
      <color theme="1"/>
      <name val="Calibri"/>
      <family val="2"/>
      <scheme val="minor"/>
    </font>
    <font>
      <b/>
      <i/>
      <sz val="14"/>
      <color rgb="FFFF0000"/>
      <name val="Calibri"/>
      <family val="2"/>
      <scheme val="minor"/>
    </font>
    <font>
      <i/>
      <sz val="11"/>
      <color rgb="FF00B0F0"/>
      <name val="Calibri"/>
      <family val="2"/>
      <scheme val="minor"/>
    </font>
    <font>
      <b/>
      <sz val="14"/>
      <color indexed="81"/>
      <name val="Tahoma"/>
      <family val="2"/>
    </font>
    <font>
      <sz val="14"/>
      <color indexed="81"/>
      <name val="Tahoma"/>
      <family val="2"/>
    </font>
    <font>
      <b/>
      <sz val="12"/>
      <color indexed="81"/>
      <name val="Tahoma"/>
      <family val="2"/>
    </font>
    <font>
      <sz val="12"/>
      <color indexed="81"/>
      <name val="Tahoma"/>
      <family val="2"/>
    </font>
    <font>
      <i/>
      <sz val="11"/>
      <color theme="1"/>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FF00"/>
        <bgColor indexed="64"/>
      </patternFill>
    </fill>
  </fills>
  <borders count="43">
    <border>
      <left/>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87">
    <xf numFmtId="0" fontId="0" fillId="0" borderId="0" xfId="0"/>
    <xf numFmtId="44" fontId="0" fillId="2" borderId="8" xfId="1" applyFont="1" applyFill="1" applyBorder="1"/>
    <xf numFmtId="167" fontId="0" fillId="2" borderId="8" xfId="0" applyNumberFormat="1" applyFill="1" applyBorder="1"/>
    <xf numFmtId="167" fontId="0" fillId="2" borderId="8" xfId="0" applyNumberFormat="1" applyFill="1" applyBorder="1" applyAlignment="1">
      <alignment horizontal="center" vertical="center"/>
    </xf>
    <xf numFmtId="0" fontId="3" fillId="0" borderId="2" xfId="0" applyFont="1" applyBorder="1" applyAlignment="1">
      <alignment horizontal="center" vertical="center" wrapText="1" readingOrder="1"/>
    </xf>
    <xf numFmtId="0" fontId="0" fillId="2" borderId="0" xfId="0" applyFill="1"/>
    <xf numFmtId="0" fontId="0" fillId="2" borderId="0" xfId="0" applyFill="1" applyAlignment="1">
      <alignment horizontal="right"/>
    </xf>
    <xf numFmtId="0" fontId="0" fillId="2" borderId="0" xfId="0" applyFill="1" applyAlignment="1">
      <alignment horizontal="left"/>
    </xf>
    <xf numFmtId="0" fontId="10" fillId="2" borderId="0" xfId="0" applyFont="1" applyFill="1" applyAlignment="1">
      <alignment horizontal="left"/>
    </xf>
    <xf numFmtId="14" fontId="0" fillId="2" borderId="0" xfId="0" applyNumberFormat="1" applyFill="1"/>
    <xf numFmtId="0" fontId="5" fillId="2" borderId="4" xfId="0" applyFont="1" applyFill="1" applyBorder="1" applyAlignment="1">
      <alignment vertical="center" wrapText="1"/>
    </xf>
    <xf numFmtId="0" fontId="3" fillId="2" borderId="12" xfId="0" applyFont="1" applyFill="1" applyBorder="1" applyAlignment="1">
      <alignment horizontal="center" vertical="center" wrapText="1" readingOrder="1"/>
    </xf>
    <xf numFmtId="0" fontId="3" fillId="2" borderId="12" xfId="0" applyFont="1" applyFill="1" applyBorder="1" applyAlignment="1">
      <alignment horizontal="left" vertical="center" wrapText="1" readingOrder="1"/>
    </xf>
    <xf numFmtId="0" fontId="2"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readingOrder="1"/>
    </xf>
    <xf numFmtId="0" fontId="6" fillId="2" borderId="3" xfId="0" applyFont="1" applyFill="1" applyBorder="1" applyAlignment="1">
      <alignment horizontal="center" vertical="center" wrapText="1"/>
    </xf>
    <xf numFmtId="0" fontId="6" fillId="2" borderId="3" xfId="0" applyFont="1" applyFill="1" applyBorder="1" applyAlignment="1">
      <alignment vertical="center" wrapText="1"/>
    </xf>
    <xf numFmtId="0" fontId="0" fillId="2" borderId="9" xfId="0" applyFill="1" applyBorder="1" applyAlignment="1">
      <alignment horizontal="center" vertical="center"/>
    </xf>
    <xf numFmtId="9" fontId="4" fillId="2" borderId="9" xfId="0" applyNumberFormat="1" applyFont="1" applyFill="1" applyBorder="1" applyAlignment="1">
      <alignment horizontal="center" vertical="center" wrapText="1" readingOrder="1"/>
    </xf>
    <xf numFmtId="0" fontId="4" fillId="2" borderId="14" xfId="0" applyFont="1" applyFill="1" applyBorder="1" applyAlignment="1">
      <alignment horizontal="center" vertical="center" wrapText="1" readingOrder="1"/>
    </xf>
    <xf numFmtId="166" fontId="4" fillId="2" borderId="9" xfId="0" applyNumberFormat="1" applyFont="1" applyFill="1" applyBorder="1" applyAlignment="1">
      <alignment horizontal="center" vertical="center" wrapText="1" readingOrder="1"/>
    </xf>
    <xf numFmtId="9" fontId="4" fillId="2" borderId="15" xfId="0" applyNumberFormat="1" applyFont="1" applyFill="1" applyBorder="1" applyAlignment="1">
      <alignment horizontal="center" vertical="center" wrapText="1" readingOrder="1"/>
    </xf>
    <xf numFmtId="0" fontId="3" fillId="2" borderId="0" xfId="0" applyFont="1" applyFill="1" applyAlignment="1">
      <alignment horizontal="left" vertical="center" wrapText="1" readingOrder="1"/>
    </xf>
    <xf numFmtId="0" fontId="0" fillId="2" borderId="8" xfId="0" applyFill="1" applyBorder="1" applyAlignment="1">
      <alignment horizontal="center" vertical="center"/>
    </xf>
    <xf numFmtId="44" fontId="0" fillId="2" borderId="8" xfId="0" applyNumberFormat="1" applyFill="1" applyBorder="1"/>
    <xf numFmtId="0" fontId="2" fillId="2" borderId="8" xfId="0" applyFont="1" applyFill="1" applyBorder="1" applyAlignment="1">
      <alignment wrapText="1"/>
    </xf>
    <xf numFmtId="2" fontId="0" fillId="2" borderId="8" xfId="0" applyNumberFormat="1" applyFill="1" applyBorder="1" applyAlignment="1">
      <alignment horizontal="center"/>
    </xf>
    <xf numFmtId="0" fontId="2" fillId="2" borderId="8" xfId="0" applyFont="1" applyFill="1" applyBorder="1" applyAlignment="1">
      <alignment horizontal="center" vertical="center"/>
    </xf>
    <xf numFmtId="9" fontId="3" fillId="2" borderId="8" xfId="0" applyNumberFormat="1" applyFont="1" applyFill="1" applyBorder="1" applyAlignment="1">
      <alignment horizontal="center" vertical="center" wrapText="1" readingOrder="1"/>
    </xf>
    <xf numFmtId="8" fontId="4" fillId="2" borderId="8" xfId="0" applyNumberFormat="1" applyFont="1" applyFill="1" applyBorder="1" applyAlignment="1">
      <alignment horizontal="center" vertical="center" wrapText="1" readingOrder="1"/>
    </xf>
    <xf numFmtId="44" fontId="4" fillId="2" borderId="8" xfId="0" applyNumberFormat="1" applyFont="1" applyFill="1" applyBorder="1" applyAlignment="1">
      <alignment horizontal="center" vertical="center" wrapText="1" readingOrder="1"/>
    </xf>
    <xf numFmtId="2" fontId="4" fillId="2" borderId="8" xfId="0" applyNumberFormat="1" applyFont="1" applyFill="1" applyBorder="1" applyAlignment="1">
      <alignment horizontal="center" vertical="center" wrapText="1" readingOrder="1"/>
    </xf>
    <xf numFmtId="0" fontId="0" fillId="2" borderId="8" xfId="0" applyFill="1" applyBorder="1"/>
    <xf numFmtId="167" fontId="0" fillId="2" borderId="0" xfId="0" applyNumberFormat="1" applyFill="1"/>
    <xf numFmtId="165" fontId="0" fillId="2" borderId="8" xfId="0" applyNumberFormat="1" applyFill="1" applyBorder="1" applyAlignment="1">
      <alignment horizontal="center" vertical="center"/>
    </xf>
    <xf numFmtId="44" fontId="0" fillId="2" borderId="0" xfId="0" applyNumberFormat="1" applyFill="1"/>
    <xf numFmtId="165" fontId="3" fillId="2" borderId="8" xfId="0" applyNumberFormat="1" applyFont="1" applyFill="1" applyBorder="1" applyAlignment="1">
      <alignment horizontal="center" vertical="center" wrapText="1" readingOrder="1"/>
    </xf>
    <xf numFmtId="8" fontId="0" fillId="2" borderId="8" xfId="0" applyNumberFormat="1" applyFill="1" applyBorder="1" applyAlignment="1">
      <alignment horizontal="center" readingOrder="1"/>
    </xf>
    <xf numFmtId="8" fontId="0" fillId="2" borderId="0" xfId="0" applyNumberFormat="1" applyFill="1"/>
    <xf numFmtId="9" fontId="0" fillId="2" borderId="0" xfId="0" applyNumberFormat="1" applyFill="1"/>
    <xf numFmtId="0" fontId="0" fillId="2" borderId="8" xfId="0" applyFill="1" applyBorder="1" applyAlignment="1">
      <alignment horizontal="center"/>
    </xf>
    <xf numFmtId="1" fontId="0" fillId="2" borderId="0" xfId="0" applyNumberFormat="1" applyFill="1"/>
    <xf numFmtId="165" fontId="0" fillId="2" borderId="8" xfId="2" applyNumberFormat="1" applyFont="1" applyFill="1" applyBorder="1" applyAlignment="1">
      <alignment horizontal="center"/>
    </xf>
    <xf numFmtId="168" fontId="0" fillId="2" borderId="8" xfId="0" applyNumberFormat="1" applyFill="1" applyBorder="1" applyAlignment="1">
      <alignment horizontal="center"/>
    </xf>
    <xf numFmtId="165" fontId="0" fillId="2" borderId="8" xfId="0" applyNumberFormat="1" applyFill="1" applyBorder="1"/>
    <xf numFmtId="168" fontId="0" fillId="2" borderId="8" xfId="0" applyNumberFormat="1" applyFill="1" applyBorder="1"/>
    <xf numFmtId="0" fontId="0" fillId="2" borderId="0" xfId="0" applyFill="1" applyAlignment="1">
      <alignment horizontal="center" vertical="center"/>
    </xf>
    <xf numFmtId="0" fontId="8" fillId="2" borderId="0" xfId="0" applyFont="1" applyFill="1"/>
    <xf numFmtId="166" fontId="4" fillId="2" borderId="0" xfId="0" applyNumberFormat="1" applyFont="1" applyFill="1" applyAlignment="1">
      <alignment horizontal="center" vertical="center" wrapText="1" readingOrder="1"/>
    </xf>
    <xf numFmtId="165" fontId="0" fillId="2" borderId="8" xfId="0" applyNumberFormat="1" applyFill="1" applyBorder="1" applyAlignment="1">
      <alignment horizontal="center"/>
    </xf>
    <xf numFmtId="168" fontId="4" fillId="2" borderId="8" xfId="0" applyNumberFormat="1" applyFont="1" applyFill="1" applyBorder="1" applyAlignment="1">
      <alignment horizontal="center" vertical="center" wrapText="1" readingOrder="1"/>
    </xf>
    <xf numFmtId="0" fontId="2" fillId="2" borderId="0" xfId="0" applyFont="1" applyFill="1"/>
    <xf numFmtId="2" fontId="4" fillId="2" borderId="15" xfId="0" applyNumberFormat="1" applyFont="1" applyFill="1" applyBorder="1" applyAlignment="1">
      <alignment horizontal="center" vertical="center" wrapText="1" readingOrder="1"/>
    </xf>
    <xf numFmtId="164" fontId="4" fillId="2" borderId="8" xfId="2" applyNumberFormat="1" applyFont="1" applyFill="1" applyBorder="1" applyAlignment="1">
      <alignment horizontal="center" vertical="center" wrapText="1" readingOrder="1"/>
    </xf>
    <xf numFmtId="10" fontId="0" fillId="2" borderId="8" xfId="2" applyNumberFormat="1" applyFont="1" applyFill="1" applyBorder="1"/>
    <xf numFmtId="0" fontId="15" fillId="2" borderId="0" xfId="0" applyFont="1" applyFill="1"/>
    <xf numFmtId="168" fontId="4" fillId="2" borderId="8" xfId="2" applyNumberFormat="1" applyFont="1" applyFill="1" applyBorder="1" applyAlignment="1">
      <alignment horizontal="center" vertical="center" wrapText="1" readingOrder="1"/>
    </xf>
    <xf numFmtId="9" fontId="0" fillId="2" borderId="8" xfId="2" applyFont="1" applyFill="1" applyBorder="1"/>
    <xf numFmtId="2" fontId="0" fillId="2" borderId="0" xfId="0" applyNumberFormat="1" applyFill="1" applyAlignment="1">
      <alignment horizontal="center"/>
    </xf>
    <xf numFmtId="165" fontId="0" fillId="2" borderId="8" xfId="2" applyNumberFormat="1" applyFont="1" applyFill="1" applyBorder="1"/>
    <xf numFmtId="44" fontId="4" fillId="2" borderId="8" xfId="1" applyFont="1" applyFill="1" applyBorder="1" applyAlignment="1">
      <alignment horizontal="center" vertical="center" wrapText="1" readingOrder="1"/>
    </xf>
    <xf numFmtId="0" fontId="8" fillId="2" borderId="0" xfId="0" applyFont="1" applyFill="1" applyAlignment="1">
      <alignment vertical="center"/>
    </xf>
    <xf numFmtId="0" fontId="4" fillId="2" borderId="8" xfId="0" applyFont="1" applyFill="1" applyBorder="1" applyAlignment="1">
      <alignment horizontal="left" vertical="center" wrapText="1" readingOrder="1"/>
    </xf>
    <xf numFmtId="168" fontId="0" fillId="2" borderId="8" xfId="0" applyNumberFormat="1" applyFill="1" applyBorder="1" applyAlignment="1">
      <alignment horizontal="center" readingOrder="1"/>
    </xf>
    <xf numFmtId="8" fontId="0" fillId="2" borderId="0" xfId="0" applyNumberFormat="1" applyFill="1" applyAlignment="1">
      <alignment horizontal="center"/>
    </xf>
    <xf numFmtId="9" fontId="0" fillId="2" borderId="0" xfId="0" applyNumberFormat="1" applyFill="1" applyAlignment="1">
      <alignment horizontal="center"/>
    </xf>
    <xf numFmtId="166" fontId="4" fillId="2" borderId="2" xfId="2" applyNumberFormat="1" applyFont="1" applyFill="1" applyBorder="1" applyAlignment="1">
      <alignment horizontal="center" vertical="center" wrapText="1" readingOrder="1"/>
    </xf>
    <xf numFmtId="166" fontId="4" fillId="2" borderId="0" xfId="2" applyNumberFormat="1" applyFont="1" applyFill="1" applyBorder="1" applyAlignment="1">
      <alignment horizontal="center" vertical="center" wrapText="1" readingOrder="1"/>
    </xf>
    <xf numFmtId="0" fontId="4" fillId="2" borderId="2" xfId="2" applyNumberFormat="1" applyFont="1" applyFill="1" applyBorder="1" applyAlignment="1">
      <alignment horizontal="center" vertical="center" wrapText="1" readingOrder="1"/>
    </xf>
    <xf numFmtId="0" fontId="0" fillId="2" borderId="0" xfId="0" applyFill="1" applyAlignment="1">
      <alignment horizontal="center"/>
    </xf>
    <xf numFmtId="2" fontId="0" fillId="2" borderId="0" xfId="0" applyNumberFormat="1" applyFill="1"/>
    <xf numFmtId="0" fontId="3" fillId="2" borderId="1" xfId="0" applyFont="1" applyFill="1" applyBorder="1" applyAlignment="1">
      <alignment horizontal="center" vertical="center" wrapText="1" readingOrder="1"/>
    </xf>
    <xf numFmtId="0" fontId="4" fillId="2" borderId="2" xfId="0" applyFont="1" applyFill="1" applyBorder="1" applyAlignment="1">
      <alignment horizontal="left" vertical="center" wrapText="1" readingOrder="1"/>
    </xf>
    <xf numFmtId="9" fontId="4" fillId="2" borderId="2" xfId="0" applyNumberFormat="1" applyFont="1" applyFill="1" applyBorder="1" applyAlignment="1">
      <alignment horizontal="center" vertical="center" wrapText="1" readingOrder="1"/>
    </xf>
    <xf numFmtId="0" fontId="4" fillId="2" borderId="2" xfId="0" applyFont="1" applyFill="1" applyBorder="1" applyAlignment="1">
      <alignment horizontal="center" vertical="center" wrapText="1" readingOrder="1"/>
    </xf>
    <xf numFmtId="166" fontId="0" fillId="2" borderId="2" xfId="0" applyNumberFormat="1" applyFill="1" applyBorder="1" applyAlignment="1">
      <alignment horizontal="center"/>
    </xf>
    <xf numFmtId="5" fontId="4" fillId="2" borderId="8" xfId="0" applyNumberFormat="1" applyFont="1" applyFill="1" applyBorder="1" applyAlignment="1">
      <alignment horizontal="center" vertical="center" wrapText="1" readingOrder="1"/>
    </xf>
    <xf numFmtId="166" fontId="0" fillId="2" borderId="0" xfId="0" applyNumberFormat="1" applyFill="1" applyAlignment="1">
      <alignment horizontal="center"/>
    </xf>
    <xf numFmtId="0" fontId="5" fillId="2" borderId="4" xfId="0" applyFont="1" applyFill="1" applyBorder="1" applyAlignment="1">
      <alignment horizontal="center" vertical="center" wrapText="1"/>
    </xf>
    <xf numFmtId="0" fontId="3" fillId="2" borderId="1" xfId="0" applyFont="1" applyFill="1" applyBorder="1" applyAlignment="1">
      <alignment vertical="center" wrapText="1" readingOrder="1"/>
    </xf>
    <xf numFmtId="0" fontId="5" fillId="2" borderId="0" xfId="0" applyFont="1" applyFill="1" applyAlignment="1">
      <alignment vertical="center" wrapText="1"/>
    </xf>
    <xf numFmtId="7" fontId="4" fillId="2" borderId="8" xfId="0" applyNumberFormat="1" applyFont="1" applyFill="1" applyBorder="1" applyAlignment="1">
      <alignment horizontal="center" vertical="center" wrapText="1" readingOrder="1"/>
    </xf>
    <xf numFmtId="8" fontId="0" fillId="2" borderId="8" xfId="0" applyNumberFormat="1" applyFill="1" applyBorder="1"/>
    <xf numFmtId="9" fontId="4" fillId="2" borderId="2" xfId="2" applyFont="1" applyFill="1" applyBorder="1" applyAlignment="1">
      <alignment horizontal="center" vertical="center" wrapText="1" readingOrder="1"/>
    </xf>
    <xf numFmtId="7" fontId="0" fillId="2" borderId="8" xfId="0" applyNumberFormat="1" applyFill="1" applyBorder="1"/>
    <xf numFmtId="165" fontId="3" fillId="2" borderId="8" xfId="2" applyNumberFormat="1" applyFont="1" applyFill="1" applyBorder="1" applyAlignment="1">
      <alignment horizontal="center" vertical="center" wrapText="1" readingOrder="1"/>
    </xf>
    <xf numFmtId="0" fontId="0" fillId="3" borderId="0" xfId="0" applyFill="1"/>
    <xf numFmtId="0" fontId="16" fillId="2" borderId="0" xfId="0" applyFont="1" applyFill="1"/>
    <xf numFmtId="0" fontId="17" fillId="2" borderId="0" xfId="0" applyFont="1" applyFill="1"/>
    <xf numFmtId="0" fontId="18" fillId="2" borderId="0" xfId="0" applyFont="1" applyFill="1"/>
    <xf numFmtId="0" fontId="20" fillId="2" borderId="0" xfId="0" applyFont="1" applyFill="1"/>
    <xf numFmtId="0" fontId="2" fillId="2" borderId="8" xfId="0" applyFont="1" applyFill="1" applyBorder="1" applyAlignment="1">
      <alignment horizontal="center" wrapText="1"/>
    </xf>
    <xf numFmtId="0" fontId="2" fillId="2" borderId="8" xfId="0" applyFont="1" applyFill="1" applyBorder="1"/>
    <xf numFmtId="0" fontId="2" fillId="2" borderId="8" xfId="0" quotePrefix="1" applyFont="1" applyFill="1" applyBorder="1" applyAlignment="1">
      <alignment horizontal="center" wrapText="1"/>
    </xf>
    <xf numFmtId="1" fontId="0" fillId="2" borderId="8" xfId="0" applyNumberFormat="1" applyFill="1" applyBorder="1" applyAlignment="1">
      <alignment horizontal="center"/>
    </xf>
    <xf numFmtId="0" fontId="19" fillId="2" borderId="8" xfId="0" applyFont="1" applyFill="1" applyBorder="1" applyAlignment="1">
      <alignment horizontal="center"/>
    </xf>
    <xf numFmtId="3" fontId="0" fillId="2" borderId="8" xfId="0" applyNumberFormat="1" applyFill="1" applyBorder="1" applyAlignment="1">
      <alignment horizontal="center"/>
    </xf>
    <xf numFmtId="0" fontId="0" fillId="4" borderId="0" xfId="0" applyFill="1"/>
    <xf numFmtId="0" fontId="21" fillId="2" borderId="0" xfId="0" applyFont="1" applyFill="1"/>
    <xf numFmtId="0" fontId="4" fillId="2" borderId="12" xfId="0" applyFont="1" applyFill="1" applyBorder="1" applyAlignment="1">
      <alignment horizontal="center" vertical="center" wrapText="1" readingOrder="1"/>
    </xf>
    <xf numFmtId="0" fontId="0" fillId="3" borderId="0" xfId="0" applyFill="1" applyAlignment="1">
      <alignment horizontal="center" vertical="center"/>
    </xf>
    <xf numFmtId="0" fontId="8" fillId="3" borderId="0" xfId="0" applyFont="1" applyFill="1"/>
    <xf numFmtId="0" fontId="2" fillId="3" borderId="0" xfId="0" applyFont="1" applyFill="1"/>
    <xf numFmtId="9" fontId="0" fillId="3" borderId="0" xfId="0" applyNumberFormat="1" applyFill="1"/>
    <xf numFmtId="8" fontId="0" fillId="3" borderId="0" xfId="0" applyNumberFormat="1" applyFill="1"/>
    <xf numFmtId="44" fontId="0" fillId="3" borderId="0" xfId="0" applyNumberFormat="1" applyFill="1"/>
    <xf numFmtId="0" fontId="8" fillId="3" borderId="0" xfId="0" applyFont="1" applyFill="1" applyAlignment="1">
      <alignment vertical="center"/>
    </xf>
    <xf numFmtId="9" fontId="0" fillId="3" borderId="0" xfId="0" applyNumberFormat="1" applyFill="1" applyAlignment="1">
      <alignment horizontal="center"/>
    </xf>
    <xf numFmtId="8" fontId="0" fillId="3" borderId="0" xfId="0" applyNumberFormat="1" applyFill="1" applyAlignment="1">
      <alignment horizontal="center"/>
    </xf>
    <xf numFmtId="0" fontId="0" fillId="3" borderId="0" xfId="0" applyFill="1" applyAlignment="1">
      <alignment horizontal="center"/>
    </xf>
    <xf numFmtId="8" fontId="0" fillId="2" borderId="2" xfId="0" applyNumberFormat="1" applyFill="1" applyBorder="1" applyAlignment="1">
      <alignment horizontal="center"/>
    </xf>
    <xf numFmtId="168" fontId="0" fillId="2" borderId="2" xfId="0" applyNumberFormat="1" applyFill="1" applyBorder="1" applyAlignment="1">
      <alignment horizontal="center"/>
    </xf>
    <xf numFmtId="9" fontId="0" fillId="2" borderId="2" xfId="0" applyNumberFormat="1" applyFill="1" applyBorder="1" applyAlignment="1">
      <alignment horizontal="center"/>
    </xf>
    <xf numFmtId="168" fontId="0" fillId="3" borderId="0" xfId="0" applyNumberFormat="1" applyFill="1"/>
    <xf numFmtId="0" fontId="3" fillId="2" borderId="35" xfId="0" applyFont="1" applyFill="1" applyBorder="1" applyAlignment="1">
      <alignment horizontal="center" vertical="center" wrapText="1" readingOrder="1"/>
    </xf>
    <xf numFmtId="166" fontId="4" fillId="2" borderId="1" xfId="0" applyNumberFormat="1" applyFont="1" applyFill="1" applyBorder="1" applyAlignment="1">
      <alignment horizontal="center" vertical="center" wrapText="1" readingOrder="1"/>
    </xf>
    <xf numFmtId="0" fontId="2" fillId="2" borderId="36" xfId="0" applyFont="1" applyFill="1" applyBorder="1" applyAlignment="1">
      <alignment wrapText="1"/>
    </xf>
    <xf numFmtId="0" fontId="3" fillId="2" borderId="6" xfId="0" applyFont="1" applyFill="1" applyBorder="1" applyAlignment="1">
      <alignment horizontal="center" vertical="center" wrapText="1" readingOrder="1"/>
    </xf>
    <xf numFmtId="166" fontId="0" fillId="2" borderId="6" xfId="0" applyNumberFormat="1" applyFill="1" applyBorder="1" applyAlignment="1">
      <alignment horizontal="center" vertical="center"/>
    </xf>
    <xf numFmtId="0" fontId="0" fillId="2" borderId="6" xfId="0" applyFill="1" applyBorder="1" applyAlignment="1">
      <alignment horizontal="center" vertical="center"/>
    </xf>
    <xf numFmtId="2" fontId="0" fillId="2" borderId="8" xfId="0" applyNumberFormat="1" applyFill="1" applyBorder="1" applyAlignment="1">
      <alignment horizontal="center" vertical="center"/>
    </xf>
    <xf numFmtId="0" fontId="0" fillId="2" borderId="8" xfId="0" applyFill="1" applyBorder="1" applyAlignment="1">
      <alignment vertical="center"/>
    </xf>
    <xf numFmtId="44" fontId="0" fillId="2" borderId="8" xfId="1" applyFont="1" applyFill="1" applyBorder="1" applyAlignment="1">
      <alignment vertical="center"/>
    </xf>
    <xf numFmtId="44" fontId="0" fillId="2" borderId="8" xfId="0" applyNumberFormat="1" applyFill="1" applyBorder="1" applyAlignment="1">
      <alignment vertical="center"/>
    </xf>
    <xf numFmtId="167" fontId="0" fillId="2" borderId="8" xfId="0" applyNumberFormat="1" applyFill="1" applyBorder="1" applyAlignment="1">
      <alignment vertical="center"/>
    </xf>
    <xf numFmtId="164" fontId="0" fillId="2" borderId="8" xfId="2" applyNumberFormat="1" applyFont="1" applyFill="1" applyBorder="1" applyAlignment="1">
      <alignment horizontal="center" vertical="center"/>
    </xf>
    <xf numFmtId="44" fontId="0" fillId="2" borderId="8" xfId="1" applyFont="1" applyFill="1" applyBorder="1" applyAlignment="1">
      <alignment horizontal="center" vertical="center"/>
    </xf>
    <xf numFmtId="0" fontId="7" fillId="2" borderId="8" xfId="0" applyFont="1" applyFill="1" applyBorder="1" applyAlignment="1">
      <alignment horizontal="center" vertical="center"/>
    </xf>
    <xf numFmtId="0" fontId="3" fillId="2" borderId="0" xfId="0" applyFont="1" applyFill="1" applyAlignment="1">
      <alignment vertical="center" readingOrder="1"/>
    </xf>
    <xf numFmtId="0" fontId="3" fillId="2" borderId="2" xfId="0" applyFont="1" applyFill="1" applyBorder="1" applyAlignment="1">
      <alignment horizontal="center" vertical="center" wrapText="1" readingOrder="1"/>
    </xf>
    <xf numFmtId="9" fontId="3" fillId="2" borderId="2" xfId="0" applyNumberFormat="1" applyFont="1" applyFill="1" applyBorder="1" applyAlignment="1">
      <alignment horizontal="center" vertical="center" wrapText="1" readingOrder="1"/>
    </xf>
    <xf numFmtId="0" fontId="22" fillId="2" borderId="0" xfId="0" applyFont="1" applyFill="1"/>
    <xf numFmtId="44" fontId="0" fillId="5" borderId="8" xfId="1" applyFont="1" applyFill="1" applyBorder="1"/>
    <xf numFmtId="165" fontId="0" fillId="5" borderId="8" xfId="0" applyNumberFormat="1" applyFill="1" applyBorder="1" applyAlignment="1">
      <alignment horizontal="center"/>
    </xf>
    <xf numFmtId="0" fontId="0" fillId="5" borderId="8" xfId="0" applyFill="1" applyBorder="1"/>
    <xf numFmtId="10" fontId="0" fillId="0" borderId="0" xfId="0" applyNumberFormat="1"/>
    <xf numFmtId="10" fontId="0" fillId="0" borderId="0" xfId="2" applyNumberFormat="1" applyFont="1"/>
    <xf numFmtId="0" fontId="0" fillId="0" borderId="0" xfId="0" applyAlignment="1">
      <alignment wrapText="1"/>
    </xf>
    <xf numFmtId="165" fontId="0" fillId="2" borderId="0" xfId="0" applyNumberFormat="1" applyFill="1"/>
    <xf numFmtId="165" fontId="0" fillId="0" borderId="8" xfId="0" applyNumberFormat="1" applyBorder="1" applyAlignment="1">
      <alignment horizontal="center"/>
    </xf>
    <xf numFmtId="10" fontId="0" fillId="5" borderId="8" xfId="0" applyNumberFormat="1" applyFill="1" applyBorder="1" applyAlignment="1">
      <alignment horizontal="center"/>
    </xf>
    <xf numFmtId="165" fontId="0" fillId="2" borderId="8" xfId="0" quotePrefix="1" applyNumberFormat="1" applyFill="1" applyBorder="1" applyAlignment="1">
      <alignment horizontal="center"/>
    </xf>
    <xf numFmtId="0" fontId="10" fillId="0" borderId="0" xfId="0" applyFont="1"/>
    <xf numFmtId="0" fontId="27" fillId="0" borderId="0" xfId="0" applyFont="1" applyAlignment="1">
      <alignment wrapText="1"/>
    </xf>
    <xf numFmtId="10" fontId="27" fillId="0" borderId="0" xfId="2" applyNumberFormat="1" applyFont="1"/>
    <xf numFmtId="165" fontId="0" fillId="2" borderId="0" xfId="2" applyNumberFormat="1" applyFont="1" applyFill="1"/>
    <xf numFmtId="165" fontId="0" fillId="5" borderId="8" xfId="2" applyNumberFormat="1" applyFont="1" applyFill="1" applyBorder="1" applyAlignment="1">
      <alignment horizontal="center"/>
    </xf>
    <xf numFmtId="44" fontId="0" fillId="5" borderId="8" xfId="0" applyNumberFormat="1" applyFill="1" applyBorder="1"/>
    <xf numFmtId="9" fontId="3" fillId="5" borderId="8" xfId="0" applyNumberFormat="1" applyFont="1" applyFill="1" applyBorder="1" applyAlignment="1">
      <alignment horizontal="center" vertical="center" wrapText="1" readingOrder="1"/>
    </xf>
    <xf numFmtId="10" fontId="0" fillId="2" borderId="8" xfId="2" applyNumberFormat="1" applyFont="1" applyFill="1" applyBorder="1" applyAlignment="1">
      <alignment horizontal="center" vertical="center" wrapText="1"/>
    </xf>
    <xf numFmtId="0" fontId="29" fillId="2" borderId="8" xfId="0" applyFont="1" applyFill="1" applyBorder="1" applyAlignment="1">
      <alignment vertical="center"/>
    </xf>
    <xf numFmtId="0" fontId="29" fillId="2" borderId="8" xfId="0" applyFont="1" applyFill="1" applyBorder="1" applyAlignment="1">
      <alignment horizontal="center" vertical="center"/>
    </xf>
    <xf numFmtId="9" fontId="30" fillId="2" borderId="8" xfId="0" applyNumberFormat="1" applyFont="1" applyFill="1" applyBorder="1" applyAlignment="1">
      <alignment horizontal="center" vertical="center" wrapText="1" readingOrder="1"/>
    </xf>
    <xf numFmtId="8" fontId="29" fillId="2" borderId="8" xfId="0" applyNumberFormat="1" applyFont="1" applyFill="1" applyBorder="1" applyAlignment="1">
      <alignment horizontal="center" vertical="center" wrapText="1" readingOrder="1"/>
    </xf>
    <xf numFmtId="44" fontId="29" fillId="2" borderId="8" xfId="0" applyNumberFormat="1" applyFont="1" applyFill="1" applyBorder="1" applyAlignment="1">
      <alignment horizontal="center" vertical="center" wrapText="1" readingOrder="1"/>
    </xf>
    <xf numFmtId="2" fontId="29" fillId="2" borderId="8" xfId="0" applyNumberFormat="1" applyFont="1" applyFill="1" applyBorder="1" applyAlignment="1">
      <alignment horizontal="center" vertical="center" wrapText="1" readingOrder="1"/>
    </xf>
    <xf numFmtId="168" fontId="29" fillId="2" borderId="8" xfId="1" applyNumberFormat="1" applyFont="1" applyFill="1" applyBorder="1" applyAlignment="1">
      <alignment horizontal="center" vertical="center" wrapText="1" readingOrder="1"/>
    </xf>
    <xf numFmtId="165" fontId="30" fillId="2" borderId="8" xfId="0" applyNumberFormat="1" applyFont="1" applyFill="1" applyBorder="1" applyAlignment="1">
      <alignment horizontal="center" vertical="center" wrapText="1" readingOrder="1"/>
    </xf>
    <xf numFmtId="165" fontId="0" fillId="2" borderId="8" xfId="2" applyNumberFormat="1" applyFont="1" applyFill="1" applyBorder="1" applyAlignment="1">
      <alignment horizontal="center" vertical="center" wrapText="1"/>
    </xf>
    <xf numFmtId="10" fontId="0" fillId="2" borderId="0" xfId="0" applyNumberFormat="1" applyFill="1"/>
    <xf numFmtId="10" fontId="0" fillId="5" borderId="8" xfId="2" applyNumberFormat="1" applyFont="1" applyFill="1" applyBorder="1" applyAlignment="1">
      <alignment horizontal="center" vertical="center" wrapText="1"/>
    </xf>
    <xf numFmtId="9" fontId="30" fillId="5" borderId="8" xfId="0" applyNumberFormat="1" applyFont="1" applyFill="1" applyBorder="1" applyAlignment="1">
      <alignment horizontal="center" vertical="center" wrapText="1" readingOrder="1"/>
    </xf>
    <xf numFmtId="44" fontId="29" fillId="2" borderId="8" xfId="1" applyFont="1" applyFill="1" applyBorder="1" applyAlignment="1">
      <alignment horizontal="center" vertical="center" wrapText="1" readingOrder="1"/>
    </xf>
    <xf numFmtId="0" fontId="0" fillId="5" borderId="8"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0" fillId="2" borderId="0" xfId="2" applyFont="1" applyFill="1" applyAlignment="1">
      <alignment horizontal="center"/>
    </xf>
    <xf numFmtId="0" fontId="0" fillId="4" borderId="0" xfId="0" applyFill="1" applyAlignment="1">
      <alignment horizontal="center"/>
    </xf>
    <xf numFmtId="0" fontId="3" fillId="2" borderId="0" xfId="0" applyFont="1" applyFill="1" applyAlignment="1">
      <alignment horizontal="center" vertical="center" wrapText="1" readingOrder="1"/>
    </xf>
    <xf numFmtId="0" fontId="12" fillId="2" borderId="0" xfId="0" applyFont="1" applyFill="1" applyAlignment="1">
      <alignment horizontal="center" vertical="top" wrapText="1"/>
    </xf>
    <xf numFmtId="164" fontId="4" fillId="2" borderId="0" xfId="0" applyNumberFormat="1" applyFont="1" applyFill="1" applyAlignment="1">
      <alignment horizontal="center" vertical="center" readingOrder="1"/>
    </xf>
    <xf numFmtId="164" fontId="13" fillId="2" borderId="0" xfId="2" applyNumberFormat="1" applyFont="1" applyFill="1" applyBorder="1" applyAlignment="1">
      <alignment horizontal="center" vertical="center" wrapText="1"/>
    </xf>
    <xf numFmtId="164" fontId="4" fillId="2" borderId="0" xfId="2" applyNumberFormat="1" applyFont="1" applyFill="1" applyBorder="1" applyAlignment="1">
      <alignment horizontal="center" vertical="center" wrapText="1" readingOrder="1"/>
    </xf>
    <xf numFmtId="164" fontId="14" fillId="2" borderId="0" xfId="2" applyNumberFormat="1" applyFont="1" applyFill="1" applyBorder="1" applyAlignment="1">
      <alignment horizontal="center"/>
    </xf>
    <xf numFmtId="6" fontId="4" fillId="2" borderId="0" xfId="0" applyNumberFormat="1" applyFont="1" applyFill="1" applyAlignment="1">
      <alignment horizontal="center" vertical="center" readingOrder="1"/>
    </xf>
    <xf numFmtId="6" fontId="4" fillId="2" borderId="0" xfId="0" applyNumberFormat="1" applyFont="1" applyFill="1" applyAlignment="1">
      <alignment horizontal="center" vertical="center" wrapText="1" readingOrder="1"/>
    </xf>
    <xf numFmtId="9" fontId="4" fillId="2" borderId="0" xfId="0" applyNumberFormat="1" applyFont="1" applyFill="1" applyAlignment="1">
      <alignment horizontal="center" vertical="center" wrapText="1" readingOrder="1"/>
    </xf>
    <xf numFmtId="164" fontId="4" fillId="0" borderId="0" xfId="2" applyNumberFormat="1" applyFont="1" applyFill="1" applyBorder="1" applyAlignment="1">
      <alignment horizontal="center" vertical="center" wrapText="1" readingOrder="1"/>
    </xf>
    <xf numFmtId="0" fontId="28" fillId="2" borderId="8" xfId="0" applyFont="1" applyFill="1" applyBorder="1"/>
    <xf numFmtId="9" fontId="13" fillId="2" borderId="0" xfId="2" applyFont="1" applyFill="1" applyBorder="1" applyAlignment="1">
      <alignment horizontal="center" vertical="center" wrapText="1"/>
    </xf>
    <xf numFmtId="9" fontId="4" fillId="2" borderId="0" xfId="2" applyFont="1" applyFill="1" applyBorder="1" applyAlignment="1">
      <alignment horizontal="center" vertical="center" wrapText="1" readingOrder="1"/>
    </xf>
    <xf numFmtId="9" fontId="14" fillId="2" borderId="0" xfId="2" applyFont="1" applyFill="1" applyBorder="1" applyAlignment="1">
      <alignment horizontal="center"/>
    </xf>
    <xf numFmtId="165" fontId="0" fillId="2" borderId="0" xfId="2" applyNumberFormat="1" applyFont="1" applyFill="1" applyAlignment="1">
      <alignment horizontal="center"/>
    </xf>
    <xf numFmtId="0" fontId="28" fillId="5" borderId="8" xfId="0" applyFont="1" applyFill="1" applyBorder="1" applyAlignment="1">
      <alignment vertical="center"/>
    </xf>
    <xf numFmtId="0" fontId="28" fillId="5" borderId="8" xfId="0" applyFont="1" applyFill="1" applyBorder="1"/>
    <xf numFmtId="0" fontId="0" fillId="0" borderId="8" xfId="0" applyBorder="1"/>
    <xf numFmtId="165" fontId="0" fillId="0" borderId="8" xfId="2" applyNumberFormat="1" applyFont="1" applyBorder="1"/>
    <xf numFmtId="10" fontId="0" fillId="0" borderId="8" xfId="0" applyNumberFormat="1" applyBorder="1"/>
    <xf numFmtId="0" fontId="2" fillId="0" borderId="8" xfId="0" applyFont="1" applyBorder="1"/>
    <xf numFmtId="169" fontId="0" fillId="2" borderId="0" xfId="0" applyNumberFormat="1" applyFill="1"/>
    <xf numFmtId="0" fontId="4" fillId="0" borderId="2" xfId="0" applyFont="1" applyBorder="1" applyAlignment="1">
      <alignment horizontal="left" vertical="center" wrapText="1" readingOrder="1"/>
    </xf>
    <xf numFmtId="9" fontId="4" fillId="0" borderId="2" xfId="2" applyFont="1" applyFill="1" applyBorder="1" applyAlignment="1">
      <alignment horizontal="center" vertical="center" wrapText="1" readingOrder="1"/>
    </xf>
    <xf numFmtId="1" fontId="4" fillId="0" borderId="2" xfId="2" applyNumberFormat="1" applyFont="1" applyFill="1" applyBorder="1" applyAlignment="1">
      <alignment horizontal="center" vertical="center" wrapText="1" readingOrder="1"/>
    </xf>
    <xf numFmtId="166" fontId="4" fillId="0" borderId="2" xfId="2" applyNumberFormat="1" applyFont="1" applyFill="1" applyBorder="1" applyAlignment="1">
      <alignment horizontal="center" vertical="center" wrapText="1" readingOrder="1"/>
    </xf>
    <xf numFmtId="164" fontId="14" fillId="0" borderId="2" xfId="0" applyNumberFormat="1" applyFont="1" applyBorder="1" applyAlignment="1">
      <alignment horizontal="center" vertical="center"/>
    </xf>
    <xf numFmtId="6" fontId="4" fillId="0" borderId="2" xfId="0" applyNumberFormat="1" applyFont="1" applyBorder="1" applyAlignment="1">
      <alignment horizontal="center" vertical="center" wrapText="1" readingOrder="1"/>
    </xf>
    <xf numFmtId="164" fontId="4" fillId="0" borderId="2" xfId="2" applyNumberFormat="1" applyFont="1" applyFill="1" applyBorder="1" applyAlignment="1">
      <alignment horizontal="center" vertical="center" wrapText="1" readingOrder="1"/>
    </xf>
    <xf numFmtId="0" fontId="12" fillId="0" borderId="2" xfId="0" applyFont="1" applyBorder="1" applyAlignment="1">
      <alignment vertical="center" wrapText="1"/>
    </xf>
    <xf numFmtId="9" fontId="4" fillId="0" borderId="2" xfId="0" applyNumberFormat="1" applyFont="1" applyBorder="1" applyAlignment="1">
      <alignment horizontal="center" vertical="center" readingOrder="1"/>
    </xf>
    <xf numFmtId="1" fontId="4" fillId="0" borderId="2" xfId="0" applyNumberFormat="1" applyFont="1" applyBorder="1" applyAlignment="1">
      <alignment horizontal="center" vertical="center" readingOrder="1"/>
    </xf>
    <xf numFmtId="166" fontId="4" fillId="0" borderId="2" xfId="0" applyNumberFormat="1" applyFont="1" applyBorder="1" applyAlignment="1">
      <alignment horizontal="center" vertical="center" readingOrder="1"/>
    </xf>
    <xf numFmtId="164" fontId="14" fillId="0" borderId="2" xfId="0" applyNumberFormat="1" applyFont="1" applyBorder="1" applyAlignment="1">
      <alignment horizontal="center"/>
    </xf>
    <xf numFmtId="6" fontId="4" fillId="0" borderId="2" xfId="0" applyNumberFormat="1" applyFont="1" applyBorder="1" applyAlignment="1">
      <alignment horizontal="center" vertical="center" readingOrder="1"/>
    </xf>
    <xf numFmtId="6" fontId="4" fillId="0" borderId="2" xfId="0" applyNumberFormat="1" applyFont="1" applyBorder="1" applyAlignment="1">
      <alignment vertical="center" readingOrder="1"/>
    </xf>
    <xf numFmtId="164" fontId="4" fillId="0" borderId="2" xfId="0" applyNumberFormat="1" applyFont="1" applyBorder="1" applyAlignment="1">
      <alignment horizontal="center" vertical="center" readingOrder="1"/>
    </xf>
    <xf numFmtId="9" fontId="13" fillId="0" borderId="2" xfId="2" applyFont="1" applyFill="1" applyBorder="1" applyAlignment="1">
      <alignment horizontal="center" vertical="center" wrapText="1"/>
    </xf>
    <xf numFmtId="1" fontId="13" fillId="0" borderId="2" xfId="2" applyNumberFormat="1" applyFont="1" applyFill="1" applyBorder="1" applyAlignment="1">
      <alignment horizontal="center" vertical="center" wrapText="1"/>
    </xf>
    <xf numFmtId="166" fontId="13" fillId="0" borderId="2" xfId="2" applyNumberFormat="1" applyFont="1" applyFill="1" applyBorder="1" applyAlignment="1">
      <alignment horizontal="center" vertical="center" wrapText="1"/>
    </xf>
    <xf numFmtId="164" fontId="13" fillId="0" borderId="2" xfId="0" applyNumberFormat="1" applyFont="1" applyBorder="1" applyAlignment="1">
      <alignment horizontal="center" vertical="center" wrapText="1"/>
    </xf>
    <xf numFmtId="164" fontId="13" fillId="0" borderId="2" xfId="2" applyNumberFormat="1" applyFont="1" applyFill="1" applyBorder="1" applyAlignment="1">
      <alignment horizontal="center" vertical="center" wrapText="1"/>
    </xf>
    <xf numFmtId="9" fontId="4" fillId="0" borderId="2" xfId="0" applyNumberFormat="1" applyFont="1" applyBorder="1" applyAlignment="1">
      <alignment horizontal="center" vertical="center" wrapText="1" readingOrder="1"/>
    </xf>
    <xf numFmtId="1" fontId="4" fillId="0" borderId="2" xfId="0" applyNumberFormat="1" applyFont="1" applyBorder="1" applyAlignment="1">
      <alignment horizontal="center" vertical="center" wrapText="1" readingOrder="1"/>
    </xf>
    <xf numFmtId="166" fontId="4" fillId="0" borderId="2" xfId="0" applyNumberFormat="1" applyFont="1" applyBorder="1" applyAlignment="1">
      <alignment horizontal="center" vertical="center" wrapText="1" readingOrder="1"/>
    </xf>
    <xf numFmtId="9" fontId="14" fillId="0" borderId="2" xfId="2" applyFont="1" applyFill="1" applyBorder="1" applyAlignment="1">
      <alignment horizontal="center"/>
    </xf>
    <xf numFmtId="1" fontId="14" fillId="0" borderId="2" xfId="2" applyNumberFormat="1" applyFont="1" applyFill="1" applyBorder="1" applyAlignment="1">
      <alignment horizontal="center"/>
    </xf>
    <xf numFmtId="166" fontId="14" fillId="0" borderId="2" xfId="2" applyNumberFormat="1" applyFont="1" applyFill="1" applyBorder="1" applyAlignment="1">
      <alignment horizontal="center"/>
    </xf>
    <xf numFmtId="165" fontId="0" fillId="0" borderId="2" xfId="2" applyNumberFormat="1" applyFont="1" applyFill="1" applyBorder="1" applyAlignment="1">
      <alignment horizontal="center"/>
    </xf>
    <xf numFmtId="6" fontId="14" fillId="0" borderId="2" xfId="0" applyNumberFormat="1" applyFont="1" applyBorder="1" applyAlignment="1">
      <alignment horizontal="center"/>
    </xf>
    <xf numFmtId="164" fontId="14" fillId="0" borderId="2" xfId="2" applyNumberFormat="1" applyFont="1" applyFill="1" applyBorder="1" applyAlignment="1">
      <alignment horizontal="center"/>
    </xf>
    <xf numFmtId="9" fontId="0" fillId="0" borderId="2" xfId="2" applyFont="1" applyFill="1" applyBorder="1" applyAlignment="1">
      <alignment horizontal="center"/>
    </xf>
    <xf numFmtId="0" fontId="4" fillId="0" borderId="2" xfId="0" applyFont="1" applyBorder="1" applyAlignment="1">
      <alignment horizontal="center" vertical="center" wrapText="1" readingOrder="1"/>
    </xf>
    <xf numFmtId="0" fontId="4" fillId="0" borderId="2" xfId="2" applyNumberFormat="1" applyFont="1" applyFill="1" applyBorder="1" applyAlignment="1">
      <alignment horizontal="center" vertical="center" wrapText="1" readingOrder="1"/>
    </xf>
    <xf numFmtId="6" fontId="4" fillId="0" borderId="2" xfId="0" applyNumberFormat="1" applyFont="1" applyBorder="1" applyAlignment="1">
      <alignment vertical="center" wrapText="1" readingOrder="1"/>
    </xf>
    <xf numFmtId="0" fontId="3" fillId="2" borderId="8" xfId="0" applyFont="1" applyFill="1" applyBorder="1" applyAlignment="1">
      <alignment horizontal="center" vertical="center" wrapText="1" readingOrder="1"/>
    </xf>
    <xf numFmtId="9" fontId="4" fillId="2" borderId="8" xfId="0" applyNumberFormat="1" applyFont="1" applyFill="1" applyBorder="1" applyAlignment="1">
      <alignment vertical="center" wrapText="1" readingOrder="1"/>
    </xf>
    <xf numFmtId="0" fontId="4" fillId="2" borderId="8" xfId="0" applyFont="1" applyFill="1" applyBorder="1" applyAlignment="1">
      <alignment horizontal="center" vertical="center" wrapText="1" readingOrder="1"/>
    </xf>
    <xf numFmtId="3" fontId="4" fillId="2" borderId="8" xfId="0" applyNumberFormat="1" applyFont="1" applyFill="1" applyBorder="1" applyAlignment="1">
      <alignment horizontal="center" vertical="center" wrapText="1" readingOrder="1"/>
    </xf>
    <xf numFmtId="9" fontId="4" fillId="2" borderId="8" xfId="2" applyFont="1" applyFill="1" applyBorder="1" applyAlignment="1">
      <alignment horizontal="center" vertical="center" wrapText="1" readingOrder="1"/>
    </xf>
    <xf numFmtId="1" fontId="4" fillId="2" borderId="8" xfId="2" applyNumberFormat="1" applyFont="1" applyFill="1" applyBorder="1" applyAlignment="1">
      <alignment horizontal="center" vertical="center" wrapText="1" readingOrder="1"/>
    </xf>
    <xf numFmtId="166" fontId="4" fillId="2" borderId="8" xfId="2" applyNumberFormat="1" applyFont="1" applyFill="1" applyBorder="1" applyAlignment="1">
      <alignment horizontal="center" vertical="center" wrapText="1" readingOrder="1"/>
    </xf>
    <xf numFmtId="164" fontId="14" fillId="2" borderId="8" xfId="0" applyNumberFormat="1" applyFont="1" applyFill="1" applyBorder="1" applyAlignment="1">
      <alignment horizontal="center"/>
    </xf>
    <xf numFmtId="6" fontId="14" fillId="2" borderId="8" xfId="0" applyNumberFormat="1" applyFont="1" applyFill="1" applyBorder="1" applyAlignment="1">
      <alignment horizontal="center"/>
    </xf>
    <xf numFmtId="9" fontId="14" fillId="0" borderId="8" xfId="2" applyFont="1" applyFill="1" applyBorder="1" applyAlignment="1">
      <alignment horizontal="center"/>
    </xf>
    <xf numFmtId="164" fontId="14" fillId="0" borderId="8" xfId="2" applyNumberFormat="1" applyFont="1" applyFill="1" applyBorder="1" applyAlignment="1">
      <alignment horizontal="center"/>
    </xf>
    <xf numFmtId="9" fontId="14" fillId="2" borderId="8" xfId="2" applyFont="1" applyFill="1" applyBorder="1" applyAlignment="1">
      <alignment horizontal="center"/>
    </xf>
    <xf numFmtId="164" fontId="14" fillId="2" borderId="8" xfId="2" applyNumberFormat="1" applyFont="1" applyFill="1" applyBorder="1" applyAlignment="1">
      <alignment horizontal="center"/>
    </xf>
    <xf numFmtId="3" fontId="14" fillId="2" borderId="8" xfId="0" applyNumberFormat="1" applyFont="1" applyFill="1" applyBorder="1" applyAlignment="1">
      <alignment horizontal="center"/>
    </xf>
    <xf numFmtId="0" fontId="13" fillId="2" borderId="8" xfId="0" applyFont="1" applyFill="1" applyBorder="1" applyAlignment="1">
      <alignment horizontal="center" vertical="center" wrapText="1"/>
    </xf>
    <xf numFmtId="9" fontId="4" fillId="2" borderId="8" xfId="0" applyNumberFormat="1" applyFont="1" applyFill="1" applyBorder="1" applyAlignment="1">
      <alignment horizontal="center" vertical="center" wrapText="1" readingOrder="1"/>
    </xf>
    <xf numFmtId="1" fontId="4" fillId="2" borderId="8" xfId="0" applyNumberFormat="1" applyFont="1" applyFill="1" applyBorder="1" applyAlignment="1">
      <alignment horizontal="center" vertical="center" wrapText="1" readingOrder="1"/>
    </xf>
    <xf numFmtId="166" fontId="4" fillId="2" borderId="8" xfId="0" applyNumberFormat="1" applyFont="1" applyFill="1" applyBorder="1" applyAlignment="1">
      <alignment horizontal="center" vertical="center" wrapText="1" readingOrder="1"/>
    </xf>
    <xf numFmtId="6" fontId="13" fillId="2" borderId="8" xfId="0" applyNumberFormat="1" applyFont="1" applyFill="1" applyBorder="1" applyAlignment="1">
      <alignment horizontal="center" vertical="center" wrapText="1"/>
    </xf>
    <xf numFmtId="9" fontId="13" fillId="2" borderId="8" xfId="2" applyFont="1" applyFill="1" applyBorder="1" applyAlignment="1">
      <alignment horizontal="center" vertical="center" wrapText="1"/>
    </xf>
    <xf numFmtId="164" fontId="13" fillId="2" borderId="8" xfId="2" applyNumberFormat="1" applyFont="1" applyFill="1" applyBorder="1" applyAlignment="1">
      <alignment horizontal="center" vertical="center" wrapText="1"/>
    </xf>
    <xf numFmtId="0" fontId="4" fillId="0" borderId="8" xfId="0" applyFont="1" applyBorder="1" applyAlignment="1">
      <alignment horizontal="left" vertical="center" wrapText="1" readingOrder="1"/>
    </xf>
    <xf numFmtId="9" fontId="4" fillId="0" borderId="8" xfId="2" applyFont="1" applyFill="1" applyBorder="1" applyAlignment="1">
      <alignment horizontal="center" vertical="center" wrapText="1" readingOrder="1"/>
    </xf>
    <xf numFmtId="1" fontId="4" fillId="0" borderId="8" xfId="2" applyNumberFormat="1" applyFont="1" applyFill="1" applyBorder="1" applyAlignment="1">
      <alignment horizontal="center" vertical="center" wrapText="1" readingOrder="1"/>
    </xf>
    <xf numFmtId="166" fontId="4" fillId="0" borderId="8" xfId="2" applyNumberFormat="1" applyFont="1" applyFill="1" applyBorder="1" applyAlignment="1">
      <alignment horizontal="center" vertical="center" wrapText="1" readingOrder="1"/>
    </xf>
    <xf numFmtId="164" fontId="14" fillId="0" borderId="8" xfId="0" applyNumberFormat="1" applyFont="1" applyBorder="1" applyAlignment="1">
      <alignment horizontal="center" vertical="center"/>
    </xf>
    <xf numFmtId="6" fontId="4" fillId="0" borderId="8" xfId="0" applyNumberFormat="1" applyFont="1" applyBorder="1" applyAlignment="1">
      <alignment horizontal="center" vertical="center" wrapText="1" readingOrder="1"/>
    </xf>
    <xf numFmtId="164" fontId="4" fillId="0" borderId="8" xfId="2" applyNumberFormat="1" applyFont="1" applyFill="1" applyBorder="1" applyAlignment="1">
      <alignment horizontal="center" vertical="center" wrapText="1" readingOrder="1"/>
    </xf>
    <xf numFmtId="0" fontId="12" fillId="0" borderId="8" xfId="0" applyFont="1" applyBorder="1" applyAlignment="1">
      <alignment vertical="center" wrapText="1"/>
    </xf>
    <xf numFmtId="9" fontId="4" fillId="0" borderId="8" xfId="0" applyNumberFormat="1" applyFont="1" applyBorder="1" applyAlignment="1">
      <alignment horizontal="center" vertical="center" readingOrder="1"/>
    </xf>
    <xf numFmtId="1" fontId="4" fillId="0" borderId="8" xfId="0" applyNumberFormat="1" applyFont="1" applyBorder="1" applyAlignment="1">
      <alignment horizontal="center" vertical="center" readingOrder="1"/>
    </xf>
    <xf numFmtId="166" fontId="4" fillId="0" borderId="8" xfId="0" applyNumberFormat="1" applyFont="1" applyBorder="1" applyAlignment="1">
      <alignment horizontal="center" vertical="center" readingOrder="1"/>
    </xf>
    <xf numFmtId="164" fontId="14" fillId="0" borderId="8" xfId="0" applyNumberFormat="1" applyFont="1" applyBorder="1" applyAlignment="1">
      <alignment horizontal="center"/>
    </xf>
    <xf numFmtId="6" fontId="4" fillId="0" borderId="8" xfId="0" applyNumberFormat="1" applyFont="1" applyBorder="1" applyAlignment="1">
      <alignment horizontal="center" vertical="center" readingOrder="1"/>
    </xf>
    <xf numFmtId="6" fontId="4" fillId="0" borderId="8" xfId="0" applyNumberFormat="1" applyFont="1" applyBorder="1" applyAlignment="1">
      <alignment vertical="center" readingOrder="1"/>
    </xf>
    <xf numFmtId="164" fontId="4" fillId="0" borderId="8" xfId="0" applyNumberFormat="1" applyFont="1" applyBorder="1" applyAlignment="1">
      <alignment horizontal="center" vertical="center" readingOrder="1"/>
    </xf>
    <xf numFmtId="9" fontId="13" fillId="0" borderId="8" xfId="2" applyFont="1" applyFill="1" applyBorder="1" applyAlignment="1">
      <alignment horizontal="center" vertical="center" wrapText="1"/>
    </xf>
    <xf numFmtId="1" fontId="13" fillId="0" borderId="8" xfId="2" applyNumberFormat="1" applyFont="1" applyFill="1" applyBorder="1" applyAlignment="1">
      <alignment horizontal="center" vertical="center" wrapText="1"/>
    </xf>
    <xf numFmtId="166" fontId="13" fillId="0" borderId="8" xfId="2" applyNumberFormat="1" applyFont="1" applyFill="1" applyBorder="1" applyAlignment="1">
      <alignment horizontal="center" vertical="center" wrapText="1"/>
    </xf>
    <xf numFmtId="164" fontId="13" fillId="0" borderId="8" xfId="0" applyNumberFormat="1" applyFont="1" applyBorder="1" applyAlignment="1">
      <alignment horizontal="center" vertical="center" wrapText="1"/>
    </xf>
    <xf numFmtId="164" fontId="13" fillId="0" borderId="8" xfId="2" applyNumberFormat="1" applyFont="1" applyFill="1" applyBorder="1" applyAlignment="1">
      <alignment horizontal="center" vertical="center" wrapText="1"/>
    </xf>
    <xf numFmtId="9" fontId="4" fillId="0" borderId="8" xfId="0" applyNumberFormat="1" applyFont="1" applyBorder="1" applyAlignment="1">
      <alignment horizontal="center" vertical="center" wrapText="1" readingOrder="1"/>
    </xf>
    <xf numFmtId="1" fontId="4" fillId="0" borderId="8" xfId="0" applyNumberFormat="1" applyFont="1" applyBorder="1" applyAlignment="1">
      <alignment horizontal="center" vertical="center" wrapText="1" readingOrder="1"/>
    </xf>
    <xf numFmtId="166" fontId="4" fillId="0" borderId="8" xfId="0" applyNumberFormat="1" applyFont="1" applyBorder="1" applyAlignment="1">
      <alignment horizontal="center" vertical="center" wrapText="1" readingOrder="1"/>
    </xf>
    <xf numFmtId="1" fontId="14" fillId="0" borderId="8" xfId="2" applyNumberFormat="1" applyFont="1" applyFill="1" applyBorder="1" applyAlignment="1">
      <alignment horizontal="center"/>
    </xf>
    <xf numFmtId="166" fontId="14" fillId="0" borderId="8" xfId="2" applyNumberFormat="1" applyFont="1" applyFill="1" applyBorder="1" applyAlignment="1">
      <alignment horizontal="center"/>
    </xf>
    <xf numFmtId="165" fontId="0" fillId="0" borderId="8" xfId="2" applyNumberFormat="1" applyFont="1" applyFill="1" applyBorder="1" applyAlignment="1">
      <alignment horizontal="center"/>
    </xf>
    <xf numFmtId="6" fontId="14" fillId="0" borderId="8" xfId="0" applyNumberFormat="1" applyFont="1" applyBorder="1" applyAlignment="1">
      <alignment horizontal="center"/>
    </xf>
    <xf numFmtId="9" fontId="0" fillId="0" borderId="8" xfId="2" applyFont="1" applyFill="1" applyBorder="1" applyAlignment="1">
      <alignment horizontal="center"/>
    </xf>
    <xf numFmtId="0" fontId="4" fillId="0" borderId="8" xfId="0" applyFont="1" applyBorder="1" applyAlignment="1">
      <alignment horizontal="center" vertical="center" wrapText="1" readingOrder="1"/>
    </xf>
    <xf numFmtId="0" fontId="4" fillId="0" borderId="8" xfId="2" applyNumberFormat="1" applyFont="1" applyFill="1" applyBorder="1" applyAlignment="1">
      <alignment horizontal="center" vertical="center" wrapText="1" readingOrder="1"/>
    </xf>
    <xf numFmtId="6" fontId="4" fillId="0" borderId="8" xfId="0" applyNumberFormat="1" applyFont="1" applyBorder="1" applyAlignment="1">
      <alignment vertical="center" wrapText="1" readingOrder="1"/>
    </xf>
    <xf numFmtId="9" fontId="4" fillId="2" borderId="39" xfId="0" applyNumberFormat="1" applyFont="1" applyFill="1" applyBorder="1" applyAlignment="1">
      <alignment vertical="center" wrapText="1" readingOrder="1"/>
    </xf>
    <xf numFmtId="0" fontId="4" fillId="2" borderId="39" xfId="0" applyFont="1" applyFill="1" applyBorder="1" applyAlignment="1">
      <alignment horizontal="center" vertical="center" wrapText="1" readingOrder="1"/>
    </xf>
    <xf numFmtId="9" fontId="3" fillId="0" borderId="2" xfId="0" applyNumberFormat="1" applyFont="1" applyBorder="1" applyAlignment="1">
      <alignment horizontal="center" vertical="center" wrapText="1" readingOrder="1"/>
    </xf>
    <xf numFmtId="0" fontId="3" fillId="0" borderId="0" xfId="0" applyFont="1" applyAlignment="1">
      <alignment vertical="center" readingOrder="1"/>
    </xf>
    <xf numFmtId="0" fontId="3" fillId="0" borderId="22" xfId="0" applyFont="1" applyBorder="1" applyAlignment="1">
      <alignment horizontal="center" vertical="center" wrapText="1" readingOrder="1"/>
    </xf>
    <xf numFmtId="9" fontId="4" fillId="0" borderId="1" xfId="0" applyNumberFormat="1" applyFont="1" applyBorder="1" applyAlignment="1">
      <alignment vertical="center" wrapText="1" readingOrder="1"/>
    </xf>
    <xf numFmtId="3" fontId="4" fillId="0" borderId="2" xfId="0" applyNumberFormat="1" applyFont="1" applyBorder="1" applyAlignment="1">
      <alignment horizontal="center" vertical="center" wrapText="1" readingOrder="1"/>
    </xf>
    <xf numFmtId="164" fontId="14" fillId="0" borderId="0" xfId="0" applyNumberFormat="1" applyFont="1" applyAlignment="1">
      <alignment horizontal="center"/>
    </xf>
    <xf numFmtId="3" fontId="14" fillId="0" borderId="2" xfId="0" applyNumberFormat="1" applyFont="1" applyBorder="1" applyAlignment="1">
      <alignment horizontal="center"/>
    </xf>
    <xf numFmtId="0" fontId="3" fillId="0" borderId="28" xfId="0" applyFont="1" applyBorder="1" applyAlignment="1">
      <alignment horizontal="center" vertical="center" wrapText="1" readingOrder="1"/>
    </xf>
    <xf numFmtId="9" fontId="3" fillId="0" borderId="28" xfId="0" applyNumberFormat="1" applyFont="1" applyBorder="1" applyAlignment="1">
      <alignment horizontal="center" vertical="center" wrapText="1" readingOrder="1"/>
    </xf>
    <xf numFmtId="0" fontId="0" fillId="0" borderId="24" xfId="0" applyBorder="1" applyAlignment="1">
      <alignment horizontal="center" vertical="center" wrapText="1"/>
    </xf>
    <xf numFmtId="9" fontId="3" fillId="0" borderId="24" xfId="0" applyNumberFormat="1" applyFont="1" applyBorder="1" applyAlignment="1">
      <alignment horizontal="center" vertical="center" wrapText="1" readingOrder="1"/>
    </xf>
    <xf numFmtId="0" fontId="13" fillId="0" borderId="2" xfId="0" applyFont="1" applyBorder="1" applyAlignment="1">
      <alignment horizontal="center" vertical="center" wrapText="1"/>
    </xf>
    <xf numFmtId="6" fontId="13" fillId="0" borderId="2" xfId="0" applyNumberFormat="1" applyFont="1" applyBorder="1" applyAlignment="1">
      <alignment horizontal="center" vertical="center" wrapText="1"/>
    </xf>
    <xf numFmtId="9" fontId="0" fillId="4" borderId="0" xfId="2" applyFont="1" applyFill="1"/>
    <xf numFmtId="9" fontId="4" fillId="0" borderId="1" xfId="0" applyNumberFormat="1" applyFont="1" applyBorder="1" applyAlignment="1">
      <alignment horizontal="center" vertical="center" wrapText="1" readingOrder="1"/>
    </xf>
    <xf numFmtId="9" fontId="4" fillId="0" borderId="25" xfId="0" applyNumberFormat="1" applyFont="1" applyBorder="1" applyAlignment="1">
      <alignment horizontal="center" vertical="center" wrapText="1" readingOrder="1"/>
    </xf>
    <xf numFmtId="9" fontId="4" fillId="0" borderId="23" xfId="0" applyNumberFormat="1" applyFont="1" applyBorder="1" applyAlignment="1">
      <alignment horizontal="center" vertical="center" wrapText="1" readingOrder="1"/>
    </xf>
    <xf numFmtId="9" fontId="4" fillId="0" borderId="32" xfId="0" applyNumberFormat="1" applyFont="1" applyBorder="1" applyAlignment="1">
      <alignment horizontal="center" vertical="center" wrapText="1" readingOrder="1"/>
    </xf>
    <xf numFmtId="9" fontId="4" fillId="0" borderId="33" xfId="0" applyNumberFormat="1" applyFont="1" applyBorder="1" applyAlignment="1">
      <alignment horizontal="center" vertical="center" wrapText="1" readingOrder="1"/>
    </xf>
    <xf numFmtId="9" fontId="4" fillId="0" borderId="34" xfId="0" applyNumberFormat="1" applyFont="1" applyBorder="1" applyAlignment="1">
      <alignment horizontal="center" vertical="center" wrapText="1" readingOrder="1"/>
    </xf>
    <xf numFmtId="9" fontId="4" fillId="0" borderId="29" xfId="0" applyNumberFormat="1" applyFont="1" applyBorder="1" applyAlignment="1">
      <alignment horizontal="center" vertical="center" wrapText="1" readingOrder="1"/>
    </xf>
    <xf numFmtId="9" fontId="4" fillId="0" borderId="30" xfId="0" applyNumberFormat="1" applyFont="1" applyBorder="1" applyAlignment="1">
      <alignment horizontal="center" vertical="center" wrapText="1" readingOrder="1"/>
    </xf>
    <xf numFmtId="9" fontId="4" fillId="0" borderId="31" xfId="0" applyNumberFormat="1" applyFont="1" applyBorder="1" applyAlignment="1">
      <alignment horizontal="center" vertical="center" wrapText="1" readingOrder="1"/>
    </xf>
    <xf numFmtId="0" fontId="3" fillId="0" borderId="1" xfId="0" applyFont="1" applyBorder="1" applyAlignment="1">
      <alignment vertical="center" wrapText="1" readingOrder="1"/>
    </xf>
    <xf numFmtId="0" fontId="3" fillId="0" borderId="25" xfId="0" applyFont="1" applyBorder="1" applyAlignment="1">
      <alignment vertical="center" wrapText="1" readingOrder="1"/>
    </xf>
    <xf numFmtId="0" fontId="3" fillId="0" borderId="23" xfId="0" applyFont="1" applyBorder="1" applyAlignment="1">
      <alignment vertical="center" wrapText="1" readingOrder="1"/>
    </xf>
    <xf numFmtId="0" fontId="4" fillId="0" borderId="22" xfId="0" applyFont="1" applyBorder="1" applyAlignment="1">
      <alignment horizontal="left" vertical="center" wrapText="1" readingOrder="1"/>
    </xf>
    <xf numFmtId="0" fontId="4" fillId="0" borderId="24" xfId="0" applyFont="1" applyBorder="1" applyAlignment="1">
      <alignment horizontal="left" vertical="center" wrapText="1" readingOrder="1"/>
    </xf>
    <xf numFmtId="0" fontId="3" fillId="0" borderId="32" xfId="0" applyFont="1" applyBorder="1" applyAlignment="1">
      <alignment vertical="center" wrapText="1" readingOrder="1"/>
    </xf>
    <xf numFmtId="0" fontId="3" fillId="0" borderId="33" xfId="0" applyFont="1" applyBorder="1" applyAlignment="1">
      <alignment vertical="center" wrapText="1" readingOrder="1"/>
    </xf>
    <xf numFmtId="0" fontId="3" fillId="0" borderId="34" xfId="0" applyFont="1" applyBorder="1" applyAlignment="1">
      <alignment vertical="center" wrapText="1" readingOrder="1"/>
    </xf>
    <xf numFmtId="0" fontId="3" fillId="0" borderId="26" xfId="0" applyFont="1" applyBorder="1" applyAlignment="1">
      <alignment vertical="center" wrapText="1" readingOrder="1"/>
    </xf>
    <xf numFmtId="0" fontId="3" fillId="0" borderId="0" xfId="0" applyFont="1" applyAlignment="1">
      <alignment vertical="center" wrapText="1" readingOrder="1"/>
    </xf>
    <xf numFmtId="0" fontId="3" fillId="0" borderId="27" xfId="0" applyFont="1" applyBorder="1" applyAlignment="1">
      <alignment vertical="center" wrapText="1" readingOrder="1"/>
    </xf>
    <xf numFmtId="0" fontId="3" fillId="0" borderId="29" xfId="0" applyFont="1" applyBorder="1" applyAlignment="1">
      <alignment vertical="center" wrapText="1" readingOrder="1"/>
    </xf>
    <xf numFmtId="0" fontId="3" fillId="0" borderId="30" xfId="0" applyFont="1" applyBorder="1" applyAlignment="1">
      <alignment vertical="center" wrapText="1" readingOrder="1"/>
    </xf>
    <xf numFmtId="0" fontId="3" fillId="0" borderId="31" xfId="0" applyFont="1" applyBorder="1" applyAlignment="1">
      <alignment vertical="center" wrapText="1" readingOrder="1"/>
    </xf>
    <xf numFmtId="0" fontId="0" fillId="0" borderId="22" xfId="0" applyBorder="1" applyAlignment="1">
      <alignment horizontal="center"/>
    </xf>
    <xf numFmtId="0" fontId="0" fillId="0" borderId="28" xfId="0" applyBorder="1" applyAlignment="1">
      <alignment horizontal="center"/>
    </xf>
    <xf numFmtId="0" fontId="0" fillId="0" borderId="24" xfId="0" applyBorder="1" applyAlignment="1">
      <alignment horizontal="center"/>
    </xf>
    <xf numFmtId="0" fontId="3" fillId="0" borderId="2" xfId="0" applyFont="1" applyBorder="1" applyAlignment="1">
      <alignment vertical="center" wrapText="1" readingOrder="1"/>
    </xf>
    <xf numFmtId="0" fontId="4" fillId="0" borderId="2" xfId="0" applyFont="1" applyBorder="1" applyAlignment="1">
      <alignment horizontal="left" vertical="center" wrapText="1" readingOrder="1"/>
    </xf>
    <xf numFmtId="0" fontId="12" fillId="0" borderId="1" xfId="0" applyFont="1" applyBorder="1" applyAlignment="1">
      <alignment horizontal="center" vertical="top" wrapText="1"/>
    </xf>
    <xf numFmtId="0" fontId="12" fillId="0" borderId="23" xfId="0" applyFont="1" applyBorder="1" applyAlignment="1">
      <alignment horizontal="center" vertical="top" wrapText="1"/>
    </xf>
    <xf numFmtId="0" fontId="12" fillId="0" borderId="32" xfId="0" applyFont="1" applyBorder="1" applyAlignment="1">
      <alignment horizontal="center" vertical="top" wrapText="1"/>
    </xf>
    <xf numFmtId="0" fontId="12" fillId="0" borderId="34" xfId="0" applyFont="1" applyBorder="1" applyAlignment="1">
      <alignment horizontal="center" vertical="top" wrapText="1"/>
    </xf>
    <xf numFmtId="0" fontId="12" fillId="0" borderId="26" xfId="0" applyFont="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12" fillId="0" borderId="31" xfId="0" applyFont="1" applyBorder="1" applyAlignment="1">
      <alignment horizontal="center" vertical="top" wrapText="1"/>
    </xf>
    <xf numFmtId="0" fontId="3" fillId="0" borderId="1" xfId="0" applyFont="1" applyBorder="1" applyAlignment="1">
      <alignment horizontal="center" vertical="center" wrapText="1" readingOrder="1"/>
    </xf>
    <xf numFmtId="0" fontId="3" fillId="0" borderId="23" xfId="0" applyFont="1" applyBorder="1" applyAlignment="1">
      <alignment horizontal="center" vertical="center" wrapText="1" readingOrder="1"/>
    </xf>
    <xf numFmtId="0" fontId="3" fillId="0" borderId="2" xfId="0" applyFont="1" applyBorder="1" applyAlignment="1">
      <alignment horizontal="left" vertical="center" wrapText="1" readingOrder="1"/>
    </xf>
    <xf numFmtId="0" fontId="3" fillId="0" borderId="22" xfId="0" applyFont="1" applyBorder="1" applyAlignment="1">
      <alignment horizontal="center" vertical="center" wrapText="1" readingOrder="1"/>
    </xf>
    <xf numFmtId="0" fontId="3" fillId="0" borderId="24" xfId="0" applyFont="1" applyBorder="1" applyAlignment="1">
      <alignment horizontal="center" vertical="center" wrapText="1" readingOrder="1"/>
    </xf>
    <xf numFmtId="0" fontId="3" fillId="2" borderId="22" xfId="0" applyFont="1" applyFill="1" applyBorder="1" applyAlignment="1">
      <alignment horizontal="center" vertical="center" wrapText="1" readingOrder="1"/>
    </xf>
    <xf numFmtId="0" fontId="3" fillId="2" borderId="24" xfId="0" applyFont="1" applyFill="1" applyBorder="1" applyAlignment="1">
      <alignment horizontal="center" vertical="center" wrapText="1" readingOrder="1"/>
    </xf>
    <xf numFmtId="6" fontId="4" fillId="0" borderId="2" xfId="0" applyNumberFormat="1" applyFont="1" applyBorder="1" applyAlignment="1">
      <alignment horizontal="center" vertical="center" readingOrder="1"/>
    </xf>
    <xf numFmtId="0" fontId="12" fillId="2" borderId="1" xfId="0" applyFont="1" applyFill="1" applyBorder="1" applyAlignment="1">
      <alignment horizontal="center" vertical="top" wrapText="1"/>
    </xf>
    <xf numFmtId="0" fontId="12" fillId="2" borderId="23" xfId="0" applyFont="1" applyFill="1" applyBorder="1" applyAlignment="1">
      <alignment horizontal="center" vertical="top" wrapText="1"/>
    </xf>
    <xf numFmtId="0" fontId="0" fillId="0" borderId="32" xfId="0" applyBorder="1" applyAlignment="1">
      <alignment horizontal="center"/>
    </xf>
    <xf numFmtId="0" fontId="0" fillId="0" borderId="34"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0" fillId="0" borderId="31" xfId="0" applyBorder="1" applyAlignment="1">
      <alignment horizontal="center"/>
    </xf>
    <xf numFmtId="6" fontId="4" fillId="0" borderId="2" xfId="0" applyNumberFormat="1" applyFont="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3" fillId="2" borderId="23" xfId="0" applyFont="1" applyFill="1" applyBorder="1" applyAlignment="1">
      <alignment horizontal="center" vertical="center" wrapText="1" readingOrder="1"/>
    </xf>
    <xf numFmtId="0" fontId="3" fillId="2" borderId="1" xfId="0" applyFont="1" applyFill="1" applyBorder="1" applyAlignment="1">
      <alignment horizontal="left" vertical="center" wrapText="1" readingOrder="1"/>
    </xf>
    <xf numFmtId="0" fontId="3" fillId="2" borderId="25" xfId="0" applyFont="1" applyFill="1" applyBorder="1" applyAlignment="1">
      <alignment horizontal="left" vertical="center" wrapText="1" readingOrder="1"/>
    </xf>
    <xf numFmtId="0" fontId="3" fillId="2" borderId="23" xfId="0" applyFont="1" applyFill="1" applyBorder="1" applyAlignment="1">
      <alignment horizontal="left" vertical="center" wrapText="1" readingOrder="1"/>
    </xf>
    <xf numFmtId="167" fontId="2" fillId="2" borderId="8" xfId="0" applyNumberFormat="1"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9" fillId="2" borderId="5" xfId="0" applyFont="1" applyFill="1" applyBorder="1" applyAlignment="1">
      <alignment horizontal="center"/>
    </xf>
    <xf numFmtId="0" fontId="9" fillId="2" borderId="7" xfId="0" applyFont="1" applyFill="1" applyBorder="1" applyAlignment="1">
      <alignment horizont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5" fillId="2" borderId="4"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3" fillId="0" borderId="2" xfId="0" applyFont="1" applyBorder="1" applyAlignment="1">
      <alignment horizontal="center" vertical="center" wrapText="1" readingOrder="1"/>
    </xf>
    <xf numFmtId="0" fontId="6" fillId="2" borderId="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6" xfId="0" applyFont="1" applyFill="1" applyBorder="1" applyAlignment="1">
      <alignment horizontal="center" vertical="center" wrapText="1"/>
    </xf>
    <xf numFmtId="167" fontId="2" fillId="2" borderId="17" xfId="0" applyNumberFormat="1" applyFont="1" applyFill="1" applyBorder="1" applyAlignment="1">
      <alignment horizontal="center" vertical="center"/>
    </xf>
    <xf numFmtId="167" fontId="2" fillId="2" borderId="10" xfId="0" applyNumberFormat="1" applyFont="1" applyFill="1" applyBorder="1" applyAlignment="1">
      <alignment horizontal="center" vertical="center"/>
    </xf>
    <xf numFmtId="167" fontId="2" fillId="2" borderId="18"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167" fontId="2" fillId="2" borderId="19" xfId="0" applyNumberFormat="1" applyFont="1" applyFill="1" applyBorder="1" applyAlignment="1">
      <alignment horizontal="center" vertical="center"/>
    </xf>
    <xf numFmtId="167" fontId="2" fillId="2" borderId="20" xfId="0" applyNumberFormat="1" applyFont="1" applyFill="1" applyBorder="1" applyAlignment="1">
      <alignment horizontal="center" vertical="center"/>
    </xf>
    <xf numFmtId="167" fontId="2" fillId="2" borderId="21" xfId="0" applyNumberFormat="1" applyFont="1" applyFill="1" applyBorder="1" applyAlignment="1">
      <alignment horizontal="center" vertical="center"/>
    </xf>
    <xf numFmtId="0" fontId="3" fillId="2" borderId="8" xfId="0" applyFont="1" applyFill="1" applyBorder="1" applyAlignment="1">
      <alignment horizontal="center" vertical="center" wrapText="1" readingOrder="1"/>
    </xf>
    <xf numFmtId="0" fontId="4" fillId="2" borderId="8" xfId="0" applyFont="1" applyFill="1" applyBorder="1" applyAlignment="1">
      <alignment horizontal="left" vertical="center" wrapText="1" readingOrder="1"/>
    </xf>
    <xf numFmtId="0" fontId="3" fillId="2" borderId="8" xfId="0" applyFont="1" applyFill="1" applyBorder="1" applyAlignment="1">
      <alignment horizontal="left" vertical="center" wrapText="1" readingOrder="1"/>
    </xf>
    <xf numFmtId="0" fontId="3" fillId="0" borderId="8" xfId="0" applyFont="1" applyBorder="1" applyAlignment="1">
      <alignment horizontal="left" vertical="center" wrapText="1" readingOrder="1"/>
    </xf>
    <xf numFmtId="6" fontId="4" fillId="0" borderId="8" xfId="0" applyNumberFormat="1" applyFont="1" applyBorder="1" applyAlignment="1">
      <alignment horizontal="left" vertical="center" readingOrder="1"/>
    </xf>
    <xf numFmtId="6" fontId="4" fillId="0" borderId="8" xfId="0" applyNumberFormat="1" applyFont="1" applyBorder="1" applyAlignment="1">
      <alignment horizontal="left" vertical="center" wrapText="1" readingOrder="1"/>
    </xf>
    <xf numFmtId="0" fontId="4" fillId="0" borderId="8" xfId="0" applyFont="1" applyBorder="1" applyAlignment="1">
      <alignment horizontal="left" vertical="center" wrapText="1" readingOrder="1"/>
    </xf>
    <xf numFmtId="9" fontId="4" fillId="2" borderId="8" xfId="0" applyNumberFormat="1" applyFont="1" applyFill="1" applyBorder="1" applyAlignment="1">
      <alignment horizontal="left" vertical="center" wrapText="1" readingOrder="1"/>
    </xf>
    <xf numFmtId="9" fontId="4" fillId="2" borderId="42" xfId="0" applyNumberFormat="1" applyFont="1" applyFill="1" applyBorder="1" applyAlignment="1">
      <alignment horizontal="left" vertical="center" wrapText="1" readingOrder="1"/>
    </xf>
    <xf numFmtId="9" fontId="4" fillId="2" borderId="39" xfId="0" applyNumberFormat="1" applyFont="1" applyFill="1" applyBorder="1" applyAlignment="1">
      <alignment horizontal="left" vertical="center" wrapText="1" readingOrder="1"/>
    </xf>
    <xf numFmtId="9" fontId="4" fillId="2" borderId="40" xfId="0" applyNumberFormat="1" applyFont="1" applyFill="1" applyBorder="1" applyAlignment="1">
      <alignment horizontal="left" vertical="center" wrapText="1" readingOrder="1"/>
    </xf>
    <xf numFmtId="0" fontId="4" fillId="2" borderId="41" xfId="0" applyFont="1" applyFill="1" applyBorder="1" applyAlignment="1">
      <alignment horizontal="left" vertical="center" wrapText="1" readingOrder="1"/>
    </xf>
    <xf numFmtId="0" fontId="4" fillId="2" borderId="38" xfId="0" applyFont="1" applyFill="1" applyBorder="1" applyAlignment="1">
      <alignment horizontal="left" vertical="center" wrapText="1" readingOrder="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8018372703413"/>
          <c:y val="4.0780604903725877E-2"/>
          <c:w val="0.54380905511811028"/>
          <c:h val="0.86720230219156491"/>
        </c:manualLayout>
      </c:layout>
      <c:scatterChart>
        <c:scatterStyle val="lineMarker"/>
        <c:varyColors val="0"/>
        <c:ser>
          <c:idx val="0"/>
          <c:order val="0"/>
          <c:spPr>
            <a:ln w="28575">
              <a:noFill/>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1"/>
            <c:trendlineLbl>
              <c:layout>
                <c:manualLayout>
                  <c:x val="0.39204549431321084"/>
                  <c:y val="7.8229075532225134E-2"/>
                </c:manualLayout>
              </c:layout>
              <c:numFmt formatCode="General" sourceLinked="0"/>
            </c:trendlineLbl>
          </c:trendline>
          <c:xVal>
            <c:numRef>
              <c:f>'Compressor EER worksheet'!$B$4:$B$5</c:f>
              <c:numCache>
                <c:formatCode>0.0%</c:formatCode>
                <c:ptCount val="2"/>
                <c:pt idx="0">
                  <c:v>1.0483870967741935</c:v>
                </c:pt>
                <c:pt idx="1">
                  <c:v>1.0615384615384615</c:v>
                </c:pt>
              </c:numCache>
            </c:numRef>
          </c:xVal>
          <c:yVal>
            <c:numRef>
              <c:f>'Compressor EER worksheet'!$C$4:$C$5</c:f>
              <c:numCache>
                <c:formatCode>0.00%</c:formatCode>
                <c:ptCount val="2"/>
                <c:pt idx="0">
                  <c:v>1.4E-2</c:v>
                </c:pt>
                <c:pt idx="1">
                  <c:v>1.9E-2</c:v>
                </c:pt>
              </c:numCache>
            </c:numRef>
          </c:yVal>
          <c:smooth val="0"/>
          <c:extLst>
            <c:ext xmlns:c16="http://schemas.microsoft.com/office/drawing/2014/chart" uri="{C3380CC4-5D6E-409C-BE32-E72D297353CC}">
              <c16:uniqueId val="{00000001-841A-4C22-BA5A-838C193C0384}"/>
            </c:ext>
          </c:extLst>
        </c:ser>
        <c:dLbls>
          <c:showLegendKey val="0"/>
          <c:showVal val="0"/>
          <c:showCatName val="0"/>
          <c:showSerName val="0"/>
          <c:showPercent val="0"/>
          <c:showBubbleSize val="0"/>
        </c:dLbls>
        <c:axId val="124950784"/>
        <c:axId val="124956672"/>
      </c:scatterChart>
      <c:valAx>
        <c:axId val="124950784"/>
        <c:scaling>
          <c:orientation val="minMax"/>
        </c:scaling>
        <c:delete val="0"/>
        <c:axPos val="b"/>
        <c:numFmt formatCode="0.0%" sourceLinked="1"/>
        <c:majorTickMark val="out"/>
        <c:minorTickMark val="none"/>
        <c:tickLblPos val="nextTo"/>
        <c:crossAx val="124956672"/>
        <c:crosses val="autoZero"/>
        <c:crossBetween val="midCat"/>
      </c:valAx>
      <c:valAx>
        <c:axId val="124956672"/>
        <c:scaling>
          <c:orientation val="minMax"/>
          <c:min val="1.0000000000000002E-2"/>
        </c:scaling>
        <c:delete val="0"/>
        <c:axPos val="l"/>
        <c:majorGridlines/>
        <c:numFmt formatCode="0.00%" sourceLinked="1"/>
        <c:majorTickMark val="out"/>
        <c:minorTickMark val="none"/>
        <c:tickLblPos val="nextTo"/>
        <c:crossAx val="1249507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0"/>
            <c:dispEq val="1"/>
            <c:trendlineLbl>
              <c:layout>
                <c:manualLayout>
                  <c:x val="0.38458092738407701"/>
                  <c:y val="0.18780548264800234"/>
                </c:manualLayout>
              </c:layout>
              <c:numFmt formatCode="General" sourceLinked="0"/>
            </c:trendlineLbl>
          </c:trendline>
          <c:xVal>
            <c:numRef>
              <c:f>'Compressor EER worksheet'!$B$27:$B$31</c:f>
              <c:numCache>
                <c:formatCode>General</c:formatCode>
                <c:ptCount val="5"/>
                <c:pt idx="0">
                  <c:v>1.0802469135802468</c:v>
                </c:pt>
                <c:pt idx="1">
                  <c:v>1.0427350427350428</c:v>
                </c:pt>
                <c:pt idx="2">
                  <c:v>1.0819672131147542</c:v>
                </c:pt>
                <c:pt idx="3">
                  <c:v>1.0427350427350428</c:v>
                </c:pt>
                <c:pt idx="4">
                  <c:v>1.0819672131147542</c:v>
                </c:pt>
              </c:numCache>
            </c:numRef>
          </c:xVal>
          <c:yVal>
            <c:numRef>
              <c:f>'Compressor EER worksheet'!$C$27:$C$31</c:f>
              <c:numCache>
                <c:formatCode>0.00%</c:formatCode>
                <c:ptCount val="5"/>
                <c:pt idx="0">
                  <c:v>6.2199999999999998E-2</c:v>
                </c:pt>
                <c:pt idx="1">
                  <c:v>3.5999999999999997E-2</c:v>
                </c:pt>
                <c:pt idx="2">
                  <c:v>6.0999999999999985E-2</c:v>
                </c:pt>
                <c:pt idx="3">
                  <c:v>3.5000000000000003E-2</c:v>
                </c:pt>
                <c:pt idx="4">
                  <c:v>5.8999999999999997E-2</c:v>
                </c:pt>
              </c:numCache>
            </c:numRef>
          </c:yVal>
          <c:smooth val="0"/>
          <c:extLst>
            <c:ext xmlns:c16="http://schemas.microsoft.com/office/drawing/2014/chart" uri="{C3380CC4-5D6E-409C-BE32-E72D297353CC}">
              <c16:uniqueId val="{00000001-C5CC-462B-B77A-BC18A2BAE912}"/>
            </c:ext>
          </c:extLst>
        </c:ser>
        <c:dLbls>
          <c:showLegendKey val="0"/>
          <c:showVal val="0"/>
          <c:showCatName val="0"/>
          <c:showSerName val="0"/>
          <c:showPercent val="0"/>
          <c:showBubbleSize val="0"/>
        </c:dLbls>
        <c:axId val="124969344"/>
        <c:axId val="124970880"/>
      </c:scatterChart>
      <c:valAx>
        <c:axId val="124969344"/>
        <c:scaling>
          <c:orientation val="minMax"/>
        </c:scaling>
        <c:delete val="0"/>
        <c:axPos val="b"/>
        <c:numFmt formatCode="General" sourceLinked="1"/>
        <c:majorTickMark val="out"/>
        <c:minorTickMark val="none"/>
        <c:tickLblPos val="nextTo"/>
        <c:crossAx val="124970880"/>
        <c:crosses val="autoZero"/>
        <c:crossBetween val="midCat"/>
      </c:valAx>
      <c:valAx>
        <c:axId val="124970880"/>
        <c:scaling>
          <c:orientation val="minMax"/>
        </c:scaling>
        <c:delete val="0"/>
        <c:axPos val="l"/>
        <c:majorGridlines/>
        <c:numFmt formatCode="0.00%" sourceLinked="1"/>
        <c:majorTickMark val="out"/>
        <c:minorTickMark val="none"/>
        <c:tickLblPos val="nextTo"/>
        <c:crossAx val="1249693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66675</xdr:colOff>
      <xdr:row>6</xdr:row>
      <xdr:rowOff>9526</xdr:rowOff>
    </xdr:from>
    <xdr:to>
      <xdr:col>3</xdr:col>
      <xdr:colOff>742949</xdr:colOff>
      <xdr:row>19</xdr:row>
      <xdr:rowOff>9526</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161925</xdr:colOff>
      <xdr:row>33</xdr:row>
      <xdr:rowOff>85725</xdr:rowOff>
    </xdr:from>
    <xdr:to>
      <xdr:col>3</xdr:col>
      <xdr:colOff>447675</xdr:colOff>
      <xdr:row>47</xdr:row>
      <xdr:rowOff>161925</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5"/>
  <sheetViews>
    <sheetView tabSelected="1" zoomScale="70" zoomScaleNormal="70" workbookViewId="0">
      <selection activeCell="N9" sqref="N9"/>
    </sheetView>
  </sheetViews>
  <sheetFormatPr defaultColWidth="9.140625" defaultRowHeight="15" x14ac:dyDescent="0.25"/>
  <cols>
    <col min="1" max="1" width="9.140625" style="98"/>
    <col min="2" max="2" width="14.140625" style="98" customWidth="1"/>
    <col min="3" max="3" width="18.28515625" style="98" customWidth="1"/>
    <col min="4" max="4" width="31" style="98" customWidth="1"/>
    <col min="5" max="5" width="23" style="98" customWidth="1"/>
    <col min="6" max="6" width="21.85546875" style="98" customWidth="1"/>
    <col min="7" max="7" width="16.28515625" style="98" customWidth="1"/>
    <col min="8" max="8" width="16" style="98" customWidth="1"/>
    <col min="9" max="9" width="16.42578125" style="98" customWidth="1"/>
    <col min="10" max="12" width="9.140625" style="98" customWidth="1"/>
    <col min="13" max="13" width="11.140625" style="98" customWidth="1"/>
    <col min="14" max="15" width="9.140625" style="98"/>
    <col min="16" max="16" width="17.85546875" style="98" customWidth="1"/>
    <col min="17" max="17" width="22.42578125" style="168" customWidth="1"/>
    <col min="18" max="16384" width="9.140625" style="98"/>
  </cols>
  <sheetData>
    <row r="1" spans="1:17" ht="21" x14ac:dyDescent="0.35">
      <c r="A1" s="88" t="s">
        <v>169</v>
      </c>
      <c r="B1" s="5"/>
      <c r="C1" s="5"/>
      <c r="D1" s="5"/>
      <c r="E1" s="5"/>
      <c r="F1" s="5"/>
      <c r="G1" s="5"/>
      <c r="H1" s="5"/>
      <c r="I1" s="5"/>
      <c r="J1" s="5"/>
      <c r="K1" s="5"/>
      <c r="L1" s="5"/>
      <c r="M1" s="5"/>
      <c r="N1" s="5"/>
      <c r="O1" s="5"/>
      <c r="P1" s="5"/>
      <c r="Q1" s="70"/>
    </row>
    <row r="2" spans="1:17" ht="18.75" x14ac:dyDescent="0.3">
      <c r="A2" s="89" t="s">
        <v>170</v>
      </c>
      <c r="B2" s="5"/>
      <c r="C2" s="5"/>
      <c r="D2" s="5"/>
      <c r="E2" s="5"/>
      <c r="F2" s="5"/>
      <c r="G2" s="5"/>
      <c r="H2" s="5"/>
      <c r="I2" s="5"/>
      <c r="J2" s="5"/>
      <c r="K2" s="5"/>
      <c r="L2" s="5"/>
      <c r="M2" s="5"/>
      <c r="N2" s="5"/>
      <c r="O2" s="5"/>
      <c r="P2" s="5"/>
      <c r="Q2" s="70"/>
    </row>
    <row r="3" spans="1:17" ht="18.75" x14ac:dyDescent="0.3">
      <c r="A3" s="90" t="s">
        <v>181</v>
      </c>
      <c r="B3" s="5"/>
      <c r="C3" s="5"/>
      <c r="D3" s="5"/>
      <c r="E3" s="5"/>
      <c r="F3" s="5"/>
      <c r="G3" s="5"/>
      <c r="H3" s="5"/>
      <c r="I3" s="5"/>
      <c r="J3" s="5"/>
      <c r="K3" s="5"/>
      <c r="L3" s="5"/>
      <c r="M3" s="5"/>
      <c r="N3" s="5"/>
      <c r="O3" s="5"/>
      <c r="P3" s="5"/>
      <c r="Q3" s="70"/>
    </row>
    <row r="4" spans="1:17" x14ac:dyDescent="0.25">
      <c r="A4" s="5"/>
      <c r="B4" s="5"/>
      <c r="C4" s="5"/>
      <c r="D4" s="5"/>
      <c r="E4" s="5"/>
      <c r="F4" s="5"/>
      <c r="G4" s="5"/>
      <c r="H4" s="5"/>
      <c r="I4" s="5"/>
      <c r="J4" s="5"/>
      <c r="K4" s="5"/>
      <c r="L4" s="5"/>
      <c r="M4" s="5"/>
      <c r="N4" s="5"/>
      <c r="O4" s="5"/>
      <c r="P4" s="5"/>
      <c r="Q4" s="70"/>
    </row>
    <row r="5" spans="1:17" ht="15.75" thickBot="1" x14ac:dyDescent="0.3">
      <c r="A5" s="5"/>
      <c r="B5" s="129" t="s">
        <v>144</v>
      </c>
      <c r="C5" s="5"/>
      <c r="D5" s="5"/>
      <c r="E5" s="5"/>
      <c r="F5" s="5"/>
      <c r="G5" s="5"/>
      <c r="H5" s="5"/>
      <c r="I5" s="5" t="s">
        <v>195</v>
      </c>
      <c r="J5" s="5"/>
      <c r="K5" s="5"/>
      <c r="L5" s="5"/>
      <c r="M5" s="5"/>
      <c r="N5" s="5"/>
      <c r="O5" s="5"/>
      <c r="P5" s="165"/>
      <c r="Q5" s="166"/>
    </row>
    <row r="6" spans="1:17" ht="15.75" customHeight="1" thickBot="1" x14ac:dyDescent="0.3">
      <c r="A6" s="5"/>
      <c r="B6" s="333" t="s">
        <v>145</v>
      </c>
      <c r="C6" s="333" t="s">
        <v>0</v>
      </c>
      <c r="D6" s="333" t="s">
        <v>149</v>
      </c>
      <c r="E6" s="333" t="s">
        <v>148</v>
      </c>
      <c r="F6" s="333" t="s">
        <v>1</v>
      </c>
      <c r="G6" s="333" t="s">
        <v>146</v>
      </c>
      <c r="H6" s="333" t="s">
        <v>147</v>
      </c>
      <c r="I6" s="333" t="s">
        <v>15</v>
      </c>
      <c r="J6" s="333" t="s">
        <v>2</v>
      </c>
      <c r="K6" s="333" t="s">
        <v>3</v>
      </c>
      <c r="L6" s="333" t="s">
        <v>4</v>
      </c>
      <c r="M6" s="333" t="s">
        <v>5</v>
      </c>
      <c r="N6" s="345" t="s">
        <v>150</v>
      </c>
      <c r="O6" s="346"/>
      <c r="P6" s="169"/>
      <c r="Q6" s="70"/>
    </row>
    <row r="7" spans="1:17" ht="15.75" thickBot="1" x14ac:dyDescent="0.3">
      <c r="A7" s="5"/>
      <c r="B7" s="334"/>
      <c r="C7" s="334"/>
      <c r="D7" s="334"/>
      <c r="E7" s="334"/>
      <c r="F7" s="334"/>
      <c r="G7" s="334"/>
      <c r="H7" s="334"/>
      <c r="I7" s="334"/>
      <c r="J7" s="334"/>
      <c r="K7" s="334"/>
      <c r="L7" s="334"/>
      <c r="M7" s="334"/>
      <c r="N7" s="130" t="s">
        <v>151</v>
      </c>
      <c r="O7" s="130" t="s">
        <v>152</v>
      </c>
      <c r="P7" s="169"/>
      <c r="Q7" s="70"/>
    </row>
    <row r="8" spans="1:17" ht="24" thickBot="1" x14ac:dyDescent="0.3">
      <c r="A8" s="5"/>
      <c r="B8" s="347" t="s">
        <v>6</v>
      </c>
      <c r="C8" s="348"/>
      <c r="D8" s="348"/>
      <c r="E8" s="348"/>
      <c r="F8" s="348"/>
      <c r="G8" s="348"/>
      <c r="H8" s="349"/>
      <c r="I8" s="131">
        <v>0.1</v>
      </c>
      <c r="J8" s="131">
        <v>0.15</v>
      </c>
      <c r="K8" s="131">
        <v>0.2</v>
      </c>
      <c r="L8" s="131">
        <v>0.25</v>
      </c>
      <c r="M8" s="131">
        <v>0.3</v>
      </c>
      <c r="N8" s="336"/>
      <c r="O8" s="337"/>
      <c r="P8" s="170"/>
      <c r="Q8" s="70"/>
    </row>
    <row r="9" spans="1:17" ht="15.75" thickBot="1" x14ac:dyDescent="0.3">
      <c r="A9" s="5"/>
      <c r="B9" s="191" t="s">
        <v>8</v>
      </c>
      <c r="C9" s="192">
        <f>'Design Option Curves'!P74</f>
        <v>0.22012812180856003</v>
      </c>
      <c r="D9" s="193">
        <f>'Design Option Curves'!Q74</f>
        <v>300</v>
      </c>
      <c r="E9" s="194">
        <f>'Design Option Curves'!R74</f>
        <v>24</v>
      </c>
      <c r="F9" s="193">
        <f>'Design Option Curves'!T74</f>
        <v>152.55000000000001</v>
      </c>
      <c r="G9" s="195">
        <f>'Design Option Curves'!L75</f>
        <v>892.62</v>
      </c>
      <c r="H9" s="195">
        <f>'Design Option Curves'!M75</f>
        <v>1115.7750000000001</v>
      </c>
      <c r="I9" s="196">
        <f>'Design Option Curves'!P86</f>
        <v>111.08919098275007</v>
      </c>
      <c r="J9" s="196">
        <f>'Design Option Curves'!Q86</f>
        <v>112.33738413985958</v>
      </c>
      <c r="K9" s="196">
        <f>'Design Option Curves'!R86</f>
        <v>142.33738413985958</v>
      </c>
      <c r="L9" s="196">
        <f>'Design Option Curves'!S86</f>
        <v>177.08</v>
      </c>
      <c r="M9" s="196"/>
      <c r="N9" s="192">
        <f>'Design Option Curves'!V86</f>
        <v>0.18298555377207068</v>
      </c>
      <c r="O9" s="197">
        <f>'Design Option Curves'!W86</f>
        <v>387.07738413985959</v>
      </c>
      <c r="P9" s="178"/>
      <c r="Q9" s="167"/>
    </row>
    <row r="10" spans="1:17" ht="24" thickBot="1" x14ac:dyDescent="0.3">
      <c r="A10" s="5"/>
      <c r="B10" s="191" t="s">
        <v>9</v>
      </c>
      <c r="C10" s="192">
        <f>'Design Option Curves'!P95</f>
        <v>0.15724563206577605</v>
      </c>
      <c r="D10" s="193">
        <f>'Design Option Curves'!Q95</f>
        <v>850</v>
      </c>
      <c r="E10" s="194">
        <f>'Design Option Curves'!R95</f>
        <v>19.7</v>
      </c>
      <c r="F10" s="193">
        <f>'Design Option Curves'!T95</f>
        <v>153</v>
      </c>
      <c r="G10" s="195">
        <f>'Design Option Curves'!L96</f>
        <v>1535.86</v>
      </c>
      <c r="H10" s="195">
        <f>'Design Option Curves'!M96</f>
        <v>1919.8249999999998</v>
      </c>
      <c r="I10" s="196">
        <f>'Design Option Curves'!P106</f>
        <v>246.66822812928635</v>
      </c>
      <c r="J10" s="196">
        <f>'Design Option Curves'!Q106</f>
        <v>215.68748289043185</v>
      </c>
      <c r="K10" s="196">
        <f>'Design Option Curves'!R106</f>
        <v>408.27698289043167</v>
      </c>
      <c r="L10" s="196"/>
      <c r="M10" s="198"/>
      <c r="N10" s="192">
        <f>'Design Option Curves'!V106</f>
        <v>0.17740000667868819</v>
      </c>
      <c r="O10" s="197">
        <f>'Design Option Curves'!W106</f>
        <v>426.56003464688325</v>
      </c>
      <c r="P10" s="178"/>
      <c r="Q10" s="167"/>
    </row>
    <row r="11" spans="1:17" ht="15.75" thickBot="1" x14ac:dyDescent="0.3">
      <c r="A11" s="5"/>
      <c r="B11" s="319" t="s">
        <v>10</v>
      </c>
      <c r="C11" s="199">
        <f>'Design Option Curves'!P116</f>
        <v>7.4999999999999997E-2</v>
      </c>
      <c r="D11" s="200">
        <f>'Design Option Curves'!Q116</f>
        <v>1500</v>
      </c>
      <c r="E11" s="201">
        <f>'Design Option Curves'!R116</f>
        <v>22.3</v>
      </c>
      <c r="F11" s="199" t="str">
        <f>'Design Option Curves'!T116</f>
        <v>NA</v>
      </c>
      <c r="G11" s="202">
        <f>'Design Option Curves'!L117</f>
        <v>1698.6392241690028</v>
      </c>
      <c r="H11" s="202">
        <f>'Design Option Curves'!M117</f>
        <v>2123.2990302112535</v>
      </c>
      <c r="I11" s="203">
        <f>'Design Option Curves'!P127</f>
        <v>233.00132619151742</v>
      </c>
      <c r="J11" s="203">
        <f>'Design Option Curves'!Q127</f>
        <v>546.53145252904369</v>
      </c>
      <c r="K11" s="203"/>
      <c r="L11" s="204"/>
      <c r="M11" s="204"/>
      <c r="N11" s="199">
        <f>'Design Option Curves'!V127</f>
        <v>0.14633774328345817</v>
      </c>
      <c r="O11" s="205">
        <f>'Design Option Curves'!W127</f>
        <v>537.02247260264858</v>
      </c>
      <c r="P11" s="171"/>
      <c r="Q11" s="167"/>
    </row>
    <row r="12" spans="1:17" ht="24" thickBot="1" x14ac:dyDescent="0.3">
      <c r="A12" s="5"/>
      <c r="B12" s="319"/>
      <c r="C12" s="206">
        <f>'Design Option Curves'!P136</f>
        <v>8.2500000000000018E-2</v>
      </c>
      <c r="D12" s="207">
        <f>'Design Option Curves'!Q136</f>
        <v>2600</v>
      </c>
      <c r="E12" s="208">
        <f>'Design Option Curves'!R136</f>
        <v>19.7</v>
      </c>
      <c r="F12" s="207">
        <f>'Design Option Curves'!T136</f>
        <v>174</v>
      </c>
      <c r="G12" s="195">
        <f>'Design Option Curves'!L137</f>
        <v>3725.17</v>
      </c>
      <c r="H12" s="195">
        <f>'Design Option Curves'!M137</f>
        <v>4656.4624999999996</v>
      </c>
      <c r="I12" s="209">
        <f>'Design Option Curves'!P147</f>
        <v>106.75998921874788</v>
      </c>
      <c r="J12" s="209">
        <f>'Design Option Curves'!Q147</f>
        <v>540.61099207280188</v>
      </c>
      <c r="K12" s="209"/>
      <c r="L12" s="198"/>
      <c r="M12" s="198"/>
      <c r="N12" s="206">
        <f>'Design Option Curves'!V147</f>
        <v>0.13555148614949111</v>
      </c>
      <c r="O12" s="210">
        <f>'Design Option Curves'!W147</f>
        <v>566.11998921874783</v>
      </c>
      <c r="P12" s="180"/>
      <c r="Q12" s="167"/>
    </row>
    <row r="13" spans="1:17" ht="24" thickBot="1" x14ac:dyDescent="0.3">
      <c r="A13" s="5"/>
      <c r="B13" s="330" t="s">
        <v>11</v>
      </c>
      <c r="C13" s="330"/>
      <c r="D13" s="330"/>
      <c r="E13" s="330"/>
      <c r="F13" s="330"/>
      <c r="G13" s="330"/>
      <c r="H13" s="330"/>
      <c r="I13" s="278">
        <v>0.1</v>
      </c>
      <c r="J13" s="278">
        <v>0.15</v>
      </c>
      <c r="K13" s="278">
        <v>0.2</v>
      </c>
      <c r="L13" s="278">
        <v>0.25</v>
      </c>
      <c r="M13" s="278">
        <v>0.3</v>
      </c>
      <c r="N13" s="320"/>
      <c r="O13" s="321"/>
      <c r="P13" s="170"/>
      <c r="Q13" s="167"/>
    </row>
    <row r="14" spans="1:17" ht="15.75" thickBot="1" x14ac:dyDescent="0.3">
      <c r="A14" s="5"/>
      <c r="B14" s="191" t="s">
        <v>8</v>
      </c>
      <c r="C14" s="211">
        <f>'Design Option Curves'!P10</f>
        <v>0.23586347427407034</v>
      </c>
      <c r="D14" s="212">
        <f>'Design Option Curves'!Q10</f>
        <v>300</v>
      </c>
      <c r="E14" s="213">
        <f>'Design Option Curves'!R10</f>
        <v>25.6</v>
      </c>
      <c r="F14" s="213" t="str">
        <f>'Design Option Curves'!T10</f>
        <v>NA</v>
      </c>
      <c r="G14" s="202">
        <f>'Design Option Curves'!L11</f>
        <v>910.07</v>
      </c>
      <c r="H14" s="202">
        <f>'Design Option Curves'!M11</f>
        <v>1137.5875000000001</v>
      </c>
      <c r="I14" s="196">
        <f>'Design Option Curves'!P23</f>
        <v>127.06574899118053</v>
      </c>
      <c r="J14" s="196">
        <f>'Design Option Curves'!Q23</f>
        <v>246.59374899118052</v>
      </c>
      <c r="K14" s="196">
        <f>'Design Option Curves'!R23</f>
        <v>246.59374899118052</v>
      </c>
      <c r="L14" s="196">
        <f>'Design Option Curves'!S23</f>
        <v>107.06</v>
      </c>
      <c r="M14" s="196">
        <f>'Design Option Curves'!T23</f>
        <v>372.20908232451347</v>
      </c>
      <c r="N14" s="192">
        <f>'Design Option Curves'!V23</f>
        <v>0.18532338308457702</v>
      </c>
      <c r="O14" s="197">
        <f>'Design Option Curves'!W23</f>
        <v>372.20908232451347</v>
      </c>
      <c r="P14" s="181"/>
      <c r="Q14" s="167"/>
    </row>
    <row r="15" spans="1:17" ht="15.75" thickBot="1" x14ac:dyDescent="0.3">
      <c r="A15" s="5"/>
      <c r="B15" s="319" t="s">
        <v>10</v>
      </c>
      <c r="C15" s="214">
        <f>'Design Option Curves'!P32</f>
        <v>0.20723006183605511</v>
      </c>
      <c r="D15" s="215">
        <f>'Design Option Curves'!Q32</f>
        <v>800</v>
      </c>
      <c r="E15" s="216">
        <f>'Design Option Curves'!R32</f>
        <v>22.7</v>
      </c>
      <c r="F15" s="217" t="str">
        <f>'Design Option Curves'!T32</f>
        <v>NA</v>
      </c>
      <c r="G15" s="202">
        <f>'Design Option Curves'!L33</f>
        <v>1485.08</v>
      </c>
      <c r="H15" s="202">
        <f>'Design Option Curves'!M33</f>
        <v>1856.35</v>
      </c>
      <c r="I15" s="218">
        <f>'Design Option Curves'!P44</f>
        <v>47.929605669474888</v>
      </c>
      <c r="J15" s="218">
        <f>'Design Option Curves'!Q44</f>
        <v>161.87081433861357</v>
      </c>
      <c r="K15" s="218">
        <f>'Design Option Curves'!R44</f>
        <v>310.01929192093041</v>
      </c>
      <c r="L15" s="218">
        <f>'Design Option Curves'!S44</f>
        <v>465.30563808218687</v>
      </c>
      <c r="M15" s="218"/>
      <c r="N15" s="214">
        <f>'Design Option Curves'!V44</f>
        <v>0.25299563888434035</v>
      </c>
      <c r="O15" s="219">
        <f>'Design Option Curves'!W44</f>
        <v>482.60112719719365</v>
      </c>
      <c r="P15" s="182"/>
      <c r="Q15" s="167"/>
    </row>
    <row r="16" spans="1:17" ht="15.75" thickBot="1" x14ac:dyDescent="0.3">
      <c r="A16" s="5"/>
      <c r="B16" s="319"/>
      <c r="C16" s="214">
        <f>'Design Option Curves'!P53</f>
        <v>0.167239943517144</v>
      </c>
      <c r="D16" s="215">
        <f>'Design Option Curves'!Q53</f>
        <v>1500</v>
      </c>
      <c r="E16" s="216">
        <f>'Design Option Curves'!R53</f>
        <v>20</v>
      </c>
      <c r="F16" s="220" t="str">
        <f>'Design Option Curves'!T53</f>
        <v>NA</v>
      </c>
      <c r="G16" s="202">
        <f>'Design Option Curves'!L54</f>
        <v>1642.12</v>
      </c>
      <c r="H16" s="202">
        <f>'Design Option Curves'!M54</f>
        <v>2052.6499999999996</v>
      </c>
      <c r="I16" s="218">
        <f>'Design Option Curves'!P64</f>
        <v>260.25523824187076</v>
      </c>
      <c r="J16" s="218">
        <f>'Design Option Curves'!Q64</f>
        <v>368.50316096206654</v>
      </c>
      <c r="K16" s="218">
        <f>'Design Option Curves'!R64</f>
        <v>637.95785516236094</v>
      </c>
      <c r="L16" s="218"/>
      <c r="M16" s="218"/>
      <c r="N16" s="214">
        <f>'Design Option Curves'!V64</f>
        <v>0.1809169192855789</v>
      </c>
      <c r="O16" s="219">
        <f>'Design Option Curves'!W64</f>
        <v>637.95785516236094</v>
      </c>
      <c r="P16" s="182"/>
      <c r="Q16" s="167"/>
    </row>
    <row r="17" spans="1:17" ht="30.75" customHeight="1" thickBot="1" x14ac:dyDescent="0.3">
      <c r="A17" s="5"/>
      <c r="B17" s="330" t="s">
        <v>154</v>
      </c>
      <c r="C17" s="330"/>
      <c r="D17" s="330"/>
      <c r="E17" s="330"/>
      <c r="F17" s="330"/>
      <c r="G17" s="330"/>
      <c r="H17" s="330"/>
      <c r="I17" s="278">
        <v>0.09</v>
      </c>
      <c r="J17" s="278">
        <v>0.15</v>
      </c>
      <c r="K17" s="278">
        <v>0.2</v>
      </c>
      <c r="L17" s="278">
        <v>0.25</v>
      </c>
      <c r="M17" s="198"/>
      <c r="N17" s="320"/>
      <c r="O17" s="321"/>
      <c r="P17" s="170"/>
      <c r="Q17" s="167"/>
    </row>
    <row r="18" spans="1:17" ht="15.75" thickBot="1" x14ac:dyDescent="0.3">
      <c r="A18" s="5"/>
      <c r="B18" s="191" t="s">
        <v>8</v>
      </c>
      <c r="C18" s="204"/>
      <c r="D18" s="221">
        <v>700</v>
      </c>
      <c r="E18" s="335" t="s">
        <v>153</v>
      </c>
      <c r="F18" s="335"/>
      <c r="G18" s="335"/>
      <c r="H18" s="335"/>
      <c r="I18" s="335"/>
      <c r="J18" s="335"/>
      <c r="K18" s="335"/>
      <c r="L18" s="335"/>
      <c r="M18" s="335"/>
      <c r="N18" s="335"/>
      <c r="O18" s="335"/>
      <c r="P18" s="175"/>
      <c r="Q18" s="167"/>
    </row>
    <row r="19" spans="1:17" ht="24" thickBot="1" x14ac:dyDescent="0.3">
      <c r="A19" s="5"/>
      <c r="B19" s="319" t="s">
        <v>10</v>
      </c>
      <c r="C19" s="192">
        <f>'Design Option Curves'!P156</f>
        <v>0.15094339622641506</v>
      </c>
      <c r="D19" s="193">
        <f>'Design Option Curves'!Q156</f>
        <v>1500</v>
      </c>
      <c r="E19" s="222">
        <f>'Design Option Curves'!R156</f>
        <v>20</v>
      </c>
      <c r="F19" s="192" t="str">
        <f>'Design Option Curves'!T156</f>
        <v>NA</v>
      </c>
      <c r="G19" s="195">
        <f>'Design Option Curves'!L157</f>
        <v>1958.6799999999998</v>
      </c>
      <c r="H19" s="195">
        <f>'Design Option Curves'!M157</f>
        <v>2448.35</v>
      </c>
      <c r="I19" s="196">
        <f>'Design Option Curves'!P167</f>
        <v>328.78648070283379</v>
      </c>
      <c r="J19" s="196">
        <f>'Design Option Curves'!Q167</f>
        <v>254.81</v>
      </c>
      <c r="K19" s="196">
        <f>'Design Option Curves'!R167</f>
        <v>481.30855283326645</v>
      </c>
      <c r="L19" s="198"/>
      <c r="M19" s="198"/>
      <c r="N19" s="192">
        <f>'Design Option Curves'!V167</f>
        <v>0.16033620568866469</v>
      </c>
      <c r="O19" s="197">
        <f>'Design Option Curves'!W167</f>
        <v>517.64031582892289</v>
      </c>
      <c r="P19" s="181"/>
      <c r="Q19" s="167"/>
    </row>
    <row r="20" spans="1:17" ht="24" thickBot="1" x14ac:dyDescent="0.3">
      <c r="A20" s="5"/>
      <c r="B20" s="319"/>
      <c r="C20" s="192">
        <f>'Design Option Curves'!P176</f>
        <v>0.15686274509803919</v>
      </c>
      <c r="D20" s="193">
        <f>'Design Option Curves'!Q176</f>
        <v>2400</v>
      </c>
      <c r="E20" s="222">
        <f>'Design Option Curves'!R176</f>
        <v>19.7</v>
      </c>
      <c r="F20" s="192" t="str">
        <f>'Design Option Curves'!T176</f>
        <v>NA</v>
      </c>
      <c r="G20" s="195">
        <f>'Design Option Curves'!L177</f>
        <v>3183.41</v>
      </c>
      <c r="H20" s="195">
        <f>'Design Option Curves'!M177</f>
        <v>3979.2624999999998</v>
      </c>
      <c r="I20" s="196">
        <f>'Design Option Curves'!P189</f>
        <v>212.17500248211022</v>
      </c>
      <c r="J20" s="196">
        <f>'Design Option Curves'!Q189</f>
        <v>376.76028920809659</v>
      </c>
      <c r="K20" s="196">
        <f>'Design Option Curves'!R189</f>
        <v>705.32028920809853</v>
      </c>
      <c r="L20" s="198"/>
      <c r="M20" s="198"/>
      <c r="N20" s="192">
        <f>'Design Option Curves'!V189</f>
        <v>0.17759675961538465</v>
      </c>
      <c r="O20" s="197">
        <f>'Design Option Curves'!W189</f>
        <v>801.54246289425168</v>
      </c>
      <c r="P20" s="181"/>
      <c r="Q20" s="167"/>
    </row>
    <row r="21" spans="1:17" ht="24" thickBot="1" x14ac:dyDescent="0.3">
      <c r="A21" s="5"/>
      <c r="B21" s="330" t="s">
        <v>13</v>
      </c>
      <c r="C21" s="330"/>
      <c r="D21" s="330"/>
      <c r="E21" s="330"/>
      <c r="F21" s="330"/>
      <c r="G21" s="330"/>
      <c r="H21" s="330"/>
      <c r="I21" s="278">
        <v>7.0000000000000007E-2</v>
      </c>
      <c r="J21" s="278">
        <v>0.15</v>
      </c>
      <c r="K21" s="278">
        <v>0.2</v>
      </c>
      <c r="L21" s="278">
        <v>0.25</v>
      </c>
      <c r="M21" s="278">
        <v>0.3</v>
      </c>
      <c r="N21" s="320"/>
      <c r="O21" s="321"/>
      <c r="P21" s="170"/>
      <c r="Q21" s="167"/>
    </row>
    <row r="22" spans="1:17" ht="15.75" thickBot="1" x14ac:dyDescent="0.3">
      <c r="A22" s="5"/>
      <c r="B22" s="191" t="s">
        <v>8</v>
      </c>
      <c r="C22" s="223"/>
      <c r="D22" s="221">
        <v>110</v>
      </c>
      <c r="E22" s="344" t="s">
        <v>153</v>
      </c>
      <c r="F22" s="344"/>
      <c r="G22" s="344"/>
      <c r="H22" s="344"/>
      <c r="I22" s="344"/>
      <c r="J22" s="344"/>
      <c r="K22" s="344"/>
      <c r="L22" s="344"/>
      <c r="M22" s="344"/>
      <c r="N22" s="344"/>
      <c r="O22" s="344"/>
      <c r="P22" s="176"/>
      <c r="Q22" s="167"/>
    </row>
    <row r="23" spans="1:17" ht="15.75" thickBot="1" x14ac:dyDescent="0.3">
      <c r="A23" s="5"/>
      <c r="B23" s="191" t="s">
        <v>10</v>
      </c>
      <c r="C23" s="192">
        <f>'Design Option Curves'!P243</f>
        <v>0.27631578947368418</v>
      </c>
      <c r="D23" s="193">
        <f>'Design Option Curves'!Q243</f>
        <v>300</v>
      </c>
      <c r="E23" s="193">
        <f>'Design Option Curves'!R243</f>
        <v>30</v>
      </c>
      <c r="F23" s="193">
        <f>'Design Option Curves'!T243</f>
        <v>131.9</v>
      </c>
      <c r="G23" s="195">
        <f>'Design Option Curves'!L244</f>
        <v>1217.01</v>
      </c>
      <c r="H23" s="195">
        <f>'Design Option Curves'!M244</f>
        <v>1521.2625</v>
      </c>
      <c r="I23" s="196">
        <f>'Design Option Curves'!P256</f>
        <v>30</v>
      </c>
      <c r="J23" s="196">
        <f>'Design Option Curves'!Q256</f>
        <v>102.63986300130533</v>
      </c>
      <c r="K23" s="196">
        <f>'Design Option Curves'!R256</f>
        <v>116.27855942987676</v>
      </c>
      <c r="L23" s="196">
        <f>'Design Option Curves'!S256</f>
        <v>142.55629653962131</v>
      </c>
      <c r="M23" s="196">
        <f>'Design Option Curves'!T256</f>
        <v>358.48759400367049</v>
      </c>
      <c r="N23" s="192">
        <f>'Design Option Curves'!V256</f>
        <v>0.30238725055334598</v>
      </c>
      <c r="O23" s="197">
        <f>'Design Option Curves'!W256</f>
        <v>359.13877371559101</v>
      </c>
      <c r="P23" s="173"/>
      <c r="Q23" s="167"/>
    </row>
    <row r="24" spans="1:17" ht="24" thickBot="1" x14ac:dyDescent="0.3">
      <c r="A24" s="5"/>
      <c r="B24" s="330" t="s">
        <v>14</v>
      </c>
      <c r="C24" s="330"/>
      <c r="D24" s="330"/>
      <c r="E24" s="330"/>
      <c r="F24" s="330"/>
      <c r="G24" s="330"/>
      <c r="H24" s="330"/>
      <c r="I24" s="278">
        <v>7.0000000000000007E-2</v>
      </c>
      <c r="J24" s="278">
        <v>0.15</v>
      </c>
      <c r="K24" s="278">
        <v>0.2</v>
      </c>
      <c r="L24" s="278">
        <v>0.25</v>
      </c>
      <c r="M24" s="278">
        <v>0.3</v>
      </c>
      <c r="N24" s="320"/>
      <c r="O24" s="321"/>
      <c r="P24" s="170"/>
      <c r="Q24" s="167"/>
    </row>
    <row r="25" spans="1:17" ht="15.75" thickBot="1" x14ac:dyDescent="0.3">
      <c r="A25" s="5"/>
      <c r="B25" s="191" t="s">
        <v>8</v>
      </c>
      <c r="C25" s="211">
        <f>'Design Option Curves'!P198</f>
        <v>0.27</v>
      </c>
      <c r="D25" s="212">
        <f>'Design Option Curves'!Q198</f>
        <v>110</v>
      </c>
      <c r="E25" s="213">
        <f>'Design Option Curves'!R198</f>
        <v>34</v>
      </c>
      <c r="F25" s="211" t="str">
        <f>'Design Option Curves'!T198</f>
        <v>NA</v>
      </c>
      <c r="G25" s="195">
        <f>'Design Option Curves'!L199</f>
        <v>1045.1500000000001</v>
      </c>
      <c r="H25" s="195">
        <f>'Design Option Curves'!M199</f>
        <v>1306.4375</v>
      </c>
      <c r="I25" s="196">
        <f>'Design Option Curves'!P211</f>
        <v>14.494916666666668</v>
      </c>
      <c r="J25" s="196">
        <f>'Design Option Curves'!Q211</f>
        <v>82.338471564835515</v>
      </c>
      <c r="K25" s="196">
        <f>'Design Option Curves'!R211</f>
        <v>133.48049129538362</v>
      </c>
      <c r="L25" s="196">
        <f>'Design Option Curves'!S211</f>
        <v>184.62251102593171</v>
      </c>
      <c r="M25" s="196">
        <f>'Design Option Curves'!T211</f>
        <v>232.46</v>
      </c>
      <c r="N25" s="192">
        <f>'Design Option Curves'!V211</f>
        <v>0.39348837209302329</v>
      </c>
      <c r="O25" s="197">
        <f>'Design Option Curves'!W211</f>
        <v>493.79068173795542</v>
      </c>
      <c r="P25" s="173"/>
      <c r="Q25" s="167"/>
    </row>
    <row r="26" spans="1:17" ht="15.75" thickBot="1" x14ac:dyDescent="0.3">
      <c r="A26" s="5"/>
      <c r="B26" s="191" t="s">
        <v>10</v>
      </c>
      <c r="C26" s="211">
        <f>'Design Option Curves'!P220</f>
        <v>0.26428571428571435</v>
      </c>
      <c r="D26" s="212">
        <f>'Design Option Curves'!Q220</f>
        <v>200</v>
      </c>
      <c r="E26" s="213">
        <f>'Design Option Curves'!R220</f>
        <v>30</v>
      </c>
      <c r="F26" s="211" t="str">
        <f>'Design Option Curves'!T220</f>
        <v>NA</v>
      </c>
      <c r="G26" s="195">
        <f>'Design Option Curves'!L221</f>
        <v>1114.7900000000002</v>
      </c>
      <c r="H26" s="195">
        <f>'Design Option Curves'!M221</f>
        <v>1393.4875000000002</v>
      </c>
      <c r="I26" s="196">
        <f>'Design Option Curves'!P233</f>
        <v>80.051306861181132</v>
      </c>
      <c r="J26" s="196">
        <f>'Design Option Curves'!Q233</f>
        <v>162.49119114880821</v>
      </c>
      <c r="K26" s="196">
        <f>'Design Option Curves'!R233</f>
        <v>190.6725337414008</v>
      </c>
      <c r="L26" s="196">
        <f>'Design Option Curves'!S233</f>
        <v>201.57332077843785</v>
      </c>
      <c r="M26" s="196">
        <f>'Design Option Curves'!T233</f>
        <v>240.29318188954895</v>
      </c>
      <c r="N26" s="192">
        <f>'Design Option Curves'!V233</f>
        <v>0.34884135107471853</v>
      </c>
      <c r="O26" s="197">
        <f>'Design Option Curves'!W233</f>
        <v>455.18012633399337</v>
      </c>
      <c r="P26" s="173"/>
      <c r="Q26" s="167"/>
    </row>
    <row r="27" spans="1:17" x14ac:dyDescent="0.25">
      <c r="A27" s="5"/>
      <c r="B27"/>
      <c r="C27"/>
      <c r="D27"/>
      <c r="E27"/>
      <c r="F27"/>
      <c r="G27"/>
      <c r="H27"/>
      <c r="I27"/>
      <c r="J27"/>
      <c r="K27"/>
      <c r="L27"/>
      <c r="M27"/>
      <c r="N27"/>
      <c r="O27"/>
      <c r="P27" s="5"/>
      <c r="Q27" s="167"/>
    </row>
    <row r="28" spans="1:17" x14ac:dyDescent="0.25">
      <c r="A28" s="5"/>
      <c r="B28"/>
      <c r="C28"/>
      <c r="D28"/>
      <c r="E28"/>
      <c r="F28"/>
      <c r="G28"/>
      <c r="H28"/>
      <c r="I28"/>
      <c r="J28"/>
      <c r="K28"/>
      <c r="L28"/>
      <c r="M28"/>
      <c r="N28"/>
      <c r="O28"/>
      <c r="P28" s="5"/>
      <c r="Q28" s="167"/>
    </row>
    <row r="29" spans="1:17" ht="15.75" thickBot="1" x14ac:dyDescent="0.3">
      <c r="A29" s="5"/>
      <c r="B29" s="279" t="s">
        <v>155</v>
      </c>
      <c r="C29"/>
      <c r="D29"/>
      <c r="E29"/>
      <c r="F29"/>
      <c r="G29"/>
      <c r="H29"/>
      <c r="I29"/>
      <c r="J29"/>
      <c r="K29"/>
      <c r="L29"/>
      <c r="M29"/>
      <c r="N29"/>
      <c r="O29"/>
      <c r="P29" s="5"/>
      <c r="Q29" s="167"/>
    </row>
    <row r="30" spans="1:17" ht="15.75" customHeight="1" thickBot="1" x14ac:dyDescent="0.3">
      <c r="A30" s="5"/>
      <c r="B30" s="331" t="s">
        <v>145</v>
      </c>
      <c r="C30" s="331" t="s">
        <v>0</v>
      </c>
      <c r="D30" s="331" t="s">
        <v>149</v>
      </c>
      <c r="E30" s="331" t="s">
        <v>148</v>
      </c>
      <c r="F30" s="331" t="s">
        <v>1</v>
      </c>
      <c r="G30" s="331" t="s">
        <v>146</v>
      </c>
      <c r="H30" s="331" t="s">
        <v>147</v>
      </c>
      <c r="I30" s="331" t="s">
        <v>15</v>
      </c>
      <c r="J30" s="331" t="s">
        <v>2</v>
      </c>
      <c r="K30" s="331" t="s">
        <v>3</v>
      </c>
      <c r="L30" s="331" t="s">
        <v>4</v>
      </c>
      <c r="M30" s="331" t="s">
        <v>5</v>
      </c>
      <c r="N30" s="328" t="s">
        <v>150</v>
      </c>
      <c r="O30" s="329"/>
      <c r="P30" s="169"/>
      <c r="Q30" s="167"/>
    </row>
    <row r="31" spans="1:17" ht="15.75" thickBot="1" x14ac:dyDescent="0.3">
      <c r="A31" s="5"/>
      <c r="B31" s="332"/>
      <c r="C31" s="332"/>
      <c r="D31" s="332"/>
      <c r="E31" s="332"/>
      <c r="F31" s="332"/>
      <c r="G31" s="332"/>
      <c r="H31" s="332"/>
      <c r="I31" s="332"/>
      <c r="J31" s="332"/>
      <c r="K31" s="332"/>
      <c r="L31" s="332"/>
      <c r="M31" s="332"/>
      <c r="N31" s="4" t="s">
        <v>151</v>
      </c>
      <c r="O31" s="4" t="s">
        <v>152</v>
      </c>
      <c r="P31" s="169"/>
      <c r="Q31" s="167"/>
    </row>
    <row r="32" spans="1:17" ht="24" thickBot="1" x14ac:dyDescent="0.3">
      <c r="A32" s="5"/>
      <c r="B32" s="301" t="s">
        <v>156</v>
      </c>
      <c r="C32" s="302"/>
      <c r="D32" s="302"/>
      <c r="E32" s="302"/>
      <c r="F32" s="302"/>
      <c r="G32" s="302"/>
      <c r="H32" s="303"/>
      <c r="I32" s="278">
        <v>0.1</v>
      </c>
      <c r="J32" s="278">
        <v>0.15</v>
      </c>
      <c r="K32" s="278">
        <v>0.2</v>
      </c>
      <c r="L32" s="278">
        <v>0.25</v>
      </c>
      <c r="M32" s="278">
        <v>0.3</v>
      </c>
      <c r="N32" s="320"/>
      <c r="O32" s="321"/>
      <c r="P32" s="170"/>
      <c r="Q32" s="167"/>
    </row>
    <row r="33" spans="1:17" ht="15.75" thickBot="1" x14ac:dyDescent="0.3">
      <c r="A33" s="5"/>
      <c r="B33" s="191" t="s">
        <v>8</v>
      </c>
      <c r="C33" s="281" t="s">
        <v>153</v>
      </c>
      <c r="D33" s="221">
        <v>800</v>
      </c>
      <c r="E33" s="292" t="s">
        <v>153</v>
      </c>
      <c r="F33" s="293"/>
      <c r="G33" s="293"/>
      <c r="H33" s="293"/>
      <c r="I33" s="293"/>
      <c r="J33" s="293"/>
      <c r="K33" s="293"/>
      <c r="L33" s="293"/>
      <c r="M33" s="293"/>
      <c r="N33" s="293"/>
      <c r="O33" s="294"/>
      <c r="P33" s="177"/>
      <c r="Q33" s="167"/>
    </row>
    <row r="34" spans="1:17" ht="15.75" thickBot="1" x14ac:dyDescent="0.3">
      <c r="A34" s="5"/>
      <c r="B34" s="304" t="s">
        <v>10</v>
      </c>
      <c r="C34" s="281" t="s">
        <v>153</v>
      </c>
      <c r="D34" s="282">
        <v>1000</v>
      </c>
      <c r="E34" s="292" t="s">
        <v>153</v>
      </c>
      <c r="F34" s="293"/>
      <c r="G34" s="293"/>
      <c r="H34" s="293"/>
      <c r="I34" s="293"/>
      <c r="J34" s="293"/>
      <c r="K34" s="293"/>
      <c r="L34" s="293"/>
      <c r="M34" s="293"/>
      <c r="N34" s="293"/>
      <c r="O34" s="294"/>
      <c r="P34" s="177"/>
      <c r="Q34" s="167"/>
    </row>
    <row r="35" spans="1:17" ht="15.75" thickBot="1" x14ac:dyDescent="0.3">
      <c r="A35" s="5"/>
      <c r="B35" s="305"/>
      <c r="C35" s="281" t="s">
        <v>153</v>
      </c>
      <c r="D35" s="282">
        <v>1800</v>
      </c>
      <c r="E35" s="292" t="s">
        <v>153</v>
      </c>
      <c r="F35" s="293"/>
      <c r="G35" s="293"/>
      <c r="H35" s="293"/>
      <c r="I35" s="293"/>
      <c r="J35" s="293"/>
      <c r="K35" s="293"/>
      <c r="L35" s="293"/>
      <c r="M35" s="293"/>
      <c r="N35" s="293"/>
      <c r="O35" s="294"/>
      <c r="P35" s="177"/>
      <c r="Q35" s="167"/>
    </row>
    <row r="36" spans="1:17" ht="24" thickBot="1" x14ac:dyDescent="0.3">
      <c r="A36" s="5"/>
      <c r="B36" s="318" t="s">
        <v>7</v>
      </c>
      <c r="C36" s="318"/>
      <c r="D36" s="318"/>
      <c r="E36" s="318"/>
      <c r="F36" s="318"/>
      <c r="G36" s="318"/>
      <c r="H36" s="318"/>
      <c r="I36" s="278">
        <v>0.1</v>
      </c>
      <c r="J36" s="278">
        <v>0.15</v>
      </c>
      <c r="K36" s="278">
        <v>0.2</v>
      </c>
      <c r="L36" s="278">
        <v>0.25</v>
      </c>
      <c r="M36" s="278">
        <v>0.3</v>
      </c>
      <c r="N36" s="320"/>
      <c r="O36" s="321"/>
      <c r="P36" s="170"/>
      <c r="Q36" s="167"/>
    </row>
    <row r="37" spans="1:17" ht="15.75" thickBot="1" x14ac:dyDescent="0.3">
      <c r="A37" s="5"/>
      <c r="B37" s="191" t="s">
        <v>8</v>
      </c>
      <c r="C37" s="192">
        <f>'Design Option Curves'!P265</f>
        <v>0.25262421337244589</v>
      </c>
      <c r="D37" s="193">
        <f>'Design Option Curves'!Q265</f>
        <v>310</v>
      </c>
      <c r="E37" s="194">
        <f>'Design Option Curves'!R265</f>
        <v>12</v>
      </c>
      <c r="F37" s="192" t="str">
        <f>'Design Option Curves'!T265</f>
        <v>NA</v>
      </c>
      <c r="G37" s="283">
        <f>'Design Option Curves'!L267</f>
        <v>2689.41</v>
      </c>
      <c r="H37" s="283">
        <f>'Design Option Curves'!M267</f>
        <v>3361.7624999999998</v>
      </c>
      <c r="I37" s="218">
        <f>'Design Option Curves'!P278</f>
        <v>68.051459051751607</v>
      </c>
      <c r="J37" s="218">
        <f>'Design Option Curves'!Q278</f>
        <v>142.52682636964499</v>
      </c>
      <c r="K37" s="218">
        <f>'Design Option Curves'!R278</f>
        <v>187.60213838466652</v>
      </c>
      <c r="L37" s="218">
        <f>'Design Option Curves'!S278</f>
        <v>453.71659293246921</v>
      </c>
      <c r="M37" s="218">
        <f>'Design Option Curves'!T278</f>
        <v>453.71659293246921</v>
      </c>
      <c r="N37" s="214">
        <f>'Design Option Curves'!V278</f>
        <v>0.2582417582417581</v>
      </c>
      <c r="O37" s="219">
        <f>'Design Option Curves'!W278</f>
        <v>502.65269121733473</v>
      </c>
      <c r="P37" s="174"/>
      <c r="Q37" s="167"/>
    </row>
    <row r="38" spans="1:17" ht="15.75" thickBot="1" x14ac:dyDescent="0.3">
      <c r="A38" s="5"/>
      <c r="B38" s="319" t="s">
        <v>10</v>
      </c>
      <c r="C38" s="192">
        <f>'Design Option Curves'!P288</f>
        <v>0.17007480709834627</v>
      </c>
      <c r="D38" s="193">
        <f>'Design Option Curves'!Q288</f>
        <v>820</v>
      </c>
      <c r="E38" s="194">
        <f>'Design Option Curves'!R288</f>
        <v>13.6</v>
      </c>
      <c r="F38" s="192" t="str">
        <f>'Design Option Curves'!T288</f>
        <v>NA</v>
      </c>
      <c r="G38" s="283">
        <f>'Design Option Curves'!L290</f>
        <v>2077.94</v>
      </c>
      <c r="H38" s="283">
        <f>'Design Option Curves'!M290</f>
        <v>2597.4250000000002</v>
      </c>
      <c r="I38" s="218">
        <f>'Design Option Curves'!P301</f>
        <v>75.7439047854444</v>
      </c>
      <c r="J38" s="218">
        <f>'Design Option Curves'!Q301</f>
        <v>168.0646898959925</v>
      </c>
      <c r="K38" s="218">
        <f>'Design Option Curves'!R301</f>
        <v>260.38547500654062</v>
      </c>
      <c r="L38" s="218">
        <f>'Design Option Curves'!S301</f>
        <v>315.54389715218781</v>
      </c>
      <c r="M38" s="218">
        <f>'Design Option Curves'!T301</f>
        <v>720.19252673702215</v>
      </c>
      <c r="N38" s="214">
        <f>'Design Option Curves'!V301</f>
        <v>0.30239999999999995</v>
      </c>
      <c r="O38" s="219">
        <f>'Design Option Curves'!W301</f>
        <v>724.6239244223284</v>
      </c>
      <c r="P38" s="174"/>
      <c r="Q38" s="167"/>
    </row>
    <row r="39" spans="1:17" ht="15.75" thickBot="1" x14ac:dyDescent="0.3">
      <c r="A39" s="5"/>
      <c r="B39" s="319"/>
      <c r="C39" s="281"/>
      <c r="D39" s="284">
        <v>1800</v>
      </c>
      <c r="E39" s="292" t="s">
        <v>153</v>
      </c>
      <c r="F39" s="293"/>
      <c r="G39" s="293"/>
      <c r="H39" s="293"/>
      <c r="I39" s="293"/>
      <c r="J39" s="293"/>
      <c r="K39" s="293"/>
      <c r="L39" s="293"/>
      <c r="M39" s="293"/>
      <c r="N39" s="293"/>
      <c r="O39" s="294"/>
      <c r="P39" s="177"/>
      <c r="Q39" s="167"/>
    </row>
    <row r="40" spans="1:17" ht="23.25" customHeight="1" x14ac:dyDescent="0.25">
      <c r="A40" s="5"/>
      <c r="B40" s="309" t="s">
        <v>157</v>
      </c>
      <c r="C40" s="310"/>
      <c r="D40" s="310"/>
      <c r="E40" s="310"/>
      <c r="F40" s="310"/>
      <c r="G40" s="310"/>
      <c r="H40" s="311"/>
      <c r="I40" s="285" t="s">
        <v>158</v>
      </c>
      <c r="J40" s="285" t="s">
        <v>15</v>
      </c>
      <c r="K40" s="285" t="s">
        <v>15</v>
      </c>
      <c r="L40" s="285" t="s">
        <v>15</v>
      </c>
      <c r="M40" s="285" t="s">
        <v>15</v>
      </c>
      <c r="N40" s="322"/>
      <c r="O40" s="323"/>
      <c r="P40" s="170"/>
      <c r="Q40" s="167"/>
    </row>
    <row r="41" spans="1:17" ht="23.25" x14ac:dyDescent="0.25">
      <c r="A41" s="5"/>
      <c r="B41" s="309"/>
      <c r="C41" s="310"/>
      <c r="D41" s="310"/>
      <c r="E41" s="310"/>
      <c r="F41" s="310"/>
      <c r="G41" s="310"/>
      <c r="H41" s="311"/>
      <c r="I41" s="286" t="s">
        <v>159</v>
      </c>
      <c r="J41" s="286">
        <v>-0.1</v>
      </c>
      <c r="K41" s="286">
        <v>-0.15</v>
      </c>
      <c r="L41" s="286">
        <v>-0.2</v>
      </c>
      <c r="M41" s="286">
        <v>-0.25</v>
      </c>
      <c r="N41" s="324"/>
      <c r="O41" s="325"/>
      <c r="P41" s="170"/>
      <c r="Q41" s="167"/>
    </row>
    <row r="42" spans="1:17" ht="24" thickBot="1" x14ac:dyDescent="0.3">
      <c r="A42" s="5"/>
      <c r="B42" s="312"/>
      <c r="C42" s="313"/>
      <c r="D42" s="313"/>
      <c r="E42" s="313"/>
      <c r="F42" s="313"/>
      <c r="G42" s="313"/>
      <c r="H42" s="314"/>
      <c r="I42" s="287"/>
      <c r="J42" s="288" t="s">
        <v>160</v>
      </c>
      <c r="K42" s="288" t="s">
        <v>161</v>
      </c>
      <c r="L42" s="288" t="s">
        <v>162</v>
      </c>
      <c r="M42" s="288" t="s">
        <v>163</v>
      </c>
      <c r="N42" s="326"/>
      <c r="O42" s="327"/>
      <c r="P42" s="170"/>
      <c r="Q42" s="167"/>
    </row>
    <row r="43" spans="1:17" ht="15.75" thickBot="1" x14ac:dyDescent="0.3">
      <c r="A43" s="5"/>
      <c r="B43" s="191" t="s">
        <v>8</v>
      </c>
      <c r="C43" s="281"/>
      <c r="D43" s="221">
        <v>700</v>
      </c>
      <c r="E43" s="292" t="s">
        <v>153</v>
      </c>
      <c r="F43" s="293"/>
      <c r="G43" s="293"/>
      <c r="H43" s="293"/>
      <c r="I43" s="293"/>
      <c r="J43" s="293"/>
      <c r="K43" s="293"/>
      <c r="L43" s="293"/>
      <c r="M43" s="293"/>
      <c r="N43" s="293"/>
      <c r="O43" s="294"/>
      <c r="P43" s="177"/>
      <c r="Q43" s="167"/>
    </row>
    <row r="44" spans="1:17" ht="15.75" thickBot="1" x14ac:dyDescent="0.3">
      <c r="A44" s="5"/>
      <c r="B44" s="191" t="s">
        <v>10</v>
      </c>
      <c r="C44" s="281"/>
      <c r="D44" s="282">
        <v>1500</v>
      </c>
      <c r="E44" s="292" t="s">
        <v>153</v>
      </c>
      <c r="F44" s="293"/>
      <c r="G44" s="293"/>
      <c r="H44" s="293"/>
      <c r="I44" s="293"/>
      <c r="J44" s="293"/>
      <c r="K44" s="293"/>
      <c r="L44" s="293"/>
      <c r="M44" s="293"/>
      <c r="N44" s="293"/>
      <c r="O44" s="294"/>
      <c r="P44" s="177"/>
      <c r="Q44" s="167"/>
    </row>
    <row r="45" spans="1:17" ht="30" x14ac:dyDescent="0.25">
      <c r="A45" s="5"/>
      <c r="B45" s="306" t="s">
        <v>164</v>
      </c>
      <c r="C45" s="307"/>
      <c r="D45" s="307"/>
      <c r="E45" s="307"/>
      <c r="F45" s="307"/>
      <c r="G45" s="307"/>
      <c r="H45" s="308"/>
      <c r="I45" s="280" t="s">
        <v>158</v>
      </c>
      <c r="J45" s="280" t="s">
        <v>158</v>
      </c>
      <c r="K45" s="280" t="s">
        <v>158</v>
      </c>
      <c r="L45" s="315"/>
      <c r="M45" s="315"/>
      <c r="N45" s="338"/>
      <c r="O45" s="339"/>
      <c r="P45" s="70"/>
      <c r="Q45" s="167"/>
    </row>
    <row r="46" spans="1:17" x14ac:dyDescent="0.25">
      <c r="A46" s="5"/>
      <c r="B46" s="309"/>
      <c r="C46" s="310"/>
      <c r="D46" s="310"/>
      <c r="E46" s="310"/>
      <c r="F46" s="310"/>
      <c r="G46" s="310"/>
      <c r="H46" s="311"/>
      <c r="I46" s="286">
        <v>-0.2</v>
      </c>
      <c r="J46" s="286">
        <v>-0.25</v>
      </c>
      <c r="K46" s="286">
        <v>-0.3</v>
      </c>
      <c r="L46" s="316"/>
      <c r="M46" s="316"/>
      <c r="N46" s="340"/>
      <c r="O46" s="341"/>
      <c r="P46" s="70"/>
      <c r="Q46" s="167"/>
    </row>
    <row r="47" spans="1:17" ht="15.75" thickBot="1" x14ac:dyDescent="0.3">
      <c r="A47" s="5"/>
      <c r="B47" s="312"/>
      <c r="C47" s="313"/>
      <c r="D47" s="313"/>
      <c r="E47" s="313"/>
      <c r="F47" s="313"/>
      <c r="G47" s="313"/>
      <c r="H47" s="314"/>
      <c r="I47" s="288" t="s">
        <v>165</v>
      </c>
      <c r="J47" s="288" t="s">
        <v>166</v>
      </c>
      <c r="K47" s="288" t="s">
        <v>167</v>
      </c>
      <c r="L47" s="317"/>
      <c r="M47" s="317"/>
      <c r="N47" s="342"/>
      <c r="O47" s="343"/>
      <c r="P47" s="70"/>
      <c r="Q47" s="167"/>
    </row>
    <row r="48" spans="1:17" ht="15.75" thickBot="1" x14ac:dyDescent="0.3">
      <c r="A48" s="5"/>
      <c r="B48" s="191" t="s">
        <v>8</v>
      </c>
      <c r="C48" s="281"/>
      <c r="D48" s="289" t="s">
        <v>12</v>
      </c>
      <c r="E48" s="295" t="s">
        <v>153</v>
      </c>
      <c r="F48" s="296"/>
      <c r="G48" s="296"/>
      <c r="H48" s="296"/>
      <c r="I48" s="296"/>
      <c r="J48" s="296"/>
      <c r="K48" s="296"/>
      <c r="L48" s="296"/>
      <c r="M48" s="296"/>
      <c r="N48" s="296"/>
      <c r="O48" s="297"/>
      <c r="P48" s="177"/>
      <c r="Q48" s="167"/>
    </row>
    <row r="49" spans="1:17" ht="15.75" thickBot="1" x14ac:dyDescent="0.3">
      <c r="A49" s="5"/>
      <c r="B49" s="191" t="s">
        <v>10</v>
      </c>
      <c r="C49" s="281"/>
      <c r="D49" s="221">
        <v>300</v>
      </c>
      <c r="E49" s="298" t="s">
        <v>153</v>
      </c>
      <c r="F49" s="299"/>
      <c r="G49" s="299"/>
      <c r="H49" s="299"/>
      <c r="I49" s="299"/>
      <c r="J49" s="299"/>
      <c r="K49" s="299"/>
      <c r="L49" s="299"/>
      <c r="M49" s="299"/>
      <c r="N49" s="299"/>
      <c r="O49" s="300"/>
      <c r="P49" s="177"/>
      <c r="Q49" s="167"/>
    </row>
    <row r="50" spans="1:17" ht="15.75" thickBot="1" x14ac:dyDescent="0.3">
      <c r="A50" s="5"/>
      <c r="B50" s="301" t="s">
        <v>16</v>
      </c>
      <c r="C50" s="302"/>
      <c r="D50" s="302"/>
      <c r="E50" s="302"/>
      <c r="F50" s="302"/>
      <c r="G50" s="302"/>
      <c r="H50" s="303"/>
      <c r="I50" s="278">
        <v>7.0000000000000007E-2</v>
      </c>
      <c r="J50" s="278">
        <v>0.15</v>
      </c>
      <c r="K50" s="278">
        <v>0.2</v>
      </c>
      <c r="L50" s="278">
        <v>0.25</v>
      </c>
      <c r="M50" s="278"/>
      <c r="N50" s="292"/>
      <c r="O50" s="294"/>
      <c r="P50" s="177"/>
      <c r="Q50" s="167"/>
    </row>
    <row r="51" spans="1:17" ht="15.75" thickBot="1" x14ac:dyDescent="0.3">
      <c r="A51" s="5"/>
      <c r="B51" s="191" t="s">
        <v>8</v>
      </c>
      <c r="C51" s="211">
        <f>'Design Option Curves'!P310</f>
        <v>0.24412125772985199</v>
      </c>
      <c r="D51" s="212">
        <f>'Design Option Curves'!Q310</f>
        <v>110</v>
      </c>
      <c r="E51" s="213">
        <f>'Design Option Curves'!R310</f>
        <v>12</v>
      </c>
      <c r="F51" s="211" t="str">
        <f>'Design Option Curves'!T310</f>
        <v>NA</v>
      </c>
      <c r="G51" s="283">
        <f>'Design Option Curves'!L312</f>
        <v>1402.63</v>
      </c>
      <c r="H51" s="283">
        <f>'Design Option Curves'!M312</f>
        <v>1753.2875000000001</v>
      </c>
      <c r="I51" s="290">
        <f>'Design Option Curves'!P322</f>
        <v>10.18</v>
      </c>
      <c r="J51" s="290">
        <f>'Design Option Curves'!Q322</f>
        <v>111.48180189770281</v>
      </c>
      <c r="K51" s="290">
        <f>'Design Option Curves'!R322</f>
        <v>167.60566404767599</v>
      </c>
      <c r="L51" s="290">
        <f>'Design Option Curves'!S322</f>
        <v>438.18704550758929</v>
      </c>
      <c r="M51" s="290"/>
      <c r="N51" s="206">
        <f>'Design Option Curves'!V322</f>
        <v>0.2819738167170191</v>
      </c>
      <c r="O51" s="210">
        <f>'Design Option Curves'!W322</f>
        <v>494.6634671099082</v>
      </c>
      <c r="P51" s="172"/>
      <c r="Q51" s="167">
        <f>1-372/O51</f>
        <v>0.24797357247054164</v>
      </c>
    </row>
    <row r="52" spans="1:17" ht="15.75" thickBot="1" x14ac:dyDescent="0.3">
      <c r="A52" s="5"/>
      <c r="B52" s="304" t="s">
        <v>10</v>
      </c>
      <c r="C52" s="281"/>
      <c r="D52" s="221">
        <v>300</v>
      </c>
      <c r="E52" s="292" t="s">
        <v>153</v>
      </c>
      <c r="F52" s="293"/>
      <c r="G52" s="293"/>
      <c r="H52" s="293"/>
      <c r="I52" s="293"/>
      <c r="J52" s="293"/>
      <c r="K52" s="293"/>
      <c r="L52" s="293"/>
      <c r="M52" s="293"/>
      <c r="N52" s="293"/>
      <c r="O52" s="294"/>
      <c r="P52" s="177"/>
      <c r="Q52" s="70"/>
    </row>
    <row r="53" spans="1:17" ht="15.75" thickBot="1" x14ac:dyDescent="0.3">
      <c r="A53" s="5"/>
      <c r="B53" s="305"/>
      <c r="C53" s="281"/>
      <c r="D53" s="221">
        <v>670</v>
      </c>
      <c r="E53" s="292" t="s">
        <v>153</v>
      </c>
      <c r="F53" s="293"/>
      <c r="G53" s="293"/>
      <c r="H53" s="293"/>
      <c r="I53" s="293"/>
      <c r="J53" s="293"/>
      <c r="K53" s="293"/>
      <c r="L53" s="293"/>
      <c r="M53" s="293"/>
      <c r="N53" s="293"/>
      <c r="O53" s="294"/>
      <c r="P53" s="177"/>
      <c r="Q53" s="70"/>
    </row>
    <row r="54" spans="1:17" x14ac:dyDescent="0.25">
      <c r="A54" s="5"/>
      <c r="B54"/>
      <c r="C54"/>
      <c r="D54"/>
      <c r="E54"/>
      <c r="F54"/>
      <c r="G54"/>
      <c r="H54"/>
      <c r="I54"/>
      <c r="J54"/>
      <c r="K54"/>
      <c r="L54"/>
      <c r="M54"/>
      <c r="N54"/>
      <c r="O54"/>
      <c r="P54" s="5"/>
      <c r="Q54" s="70"/>
    </row>
    <row r="55" spans="1:17" x14ac:dyDescent="0.25">
      <c r="A55" s="5"/>
      <c r="B55" s="5"/>
      <c r="C55" s="5"/>
      <c r="D55" s="5"/>
      <c r="E55" s="5"/>
      <c r="F55" s="5"/>
      <c r="G55" s="5"/>
      <c r="H55" s="5"/>
      <c r="I55" s="5"/>
      <c r="J55" s="5"/>
      <c r="K55" s="5"/>
      <c r="L55" s="5"/>
      <c r="M55" s="5"/>
      <c r="N55" s="5"/>
      <c r="O55" s="5"/>
      <c r="P55" s="5"/>
      <c r="Q55" s="70"/>
    </row>
  </sheetData>
  <mergeCells count="66">
    <mergeCell ref="N45:O47"/>
    <mergeCell ref="N50:O50"/>
    <mergeCell ref="E22:O22"/>
    <mergeCell ref="N6:O6"/>
    <mergeCell ref="B8:H8"/>
    <mergeCell ref="B11:B12"/>
    <mergeCell ref="B13:H13"/>
    <mergeCell ref="H6:H7"/>
    <mergeCell ref="I6:I7"/>
    <mergeCell ref="J6:J7"/>
    <mergeCell ref="K6:K7"/>
    <mergeCell ref="L6:L7"/>
    <mergeCell ref="M6:M7"/>
    <mergeCell ref="B6:B7"/>
    <mergeCell ref="C6:C7"/>
    <mergeCell ref="D6:D7"/>
    <mergeCell ref="N24:O24"/>
    <mergeCell ref="E6:E7"/>
    <mergeCell ref="B15:B16"/>
    <mergeCell ref="B19:B20"/>
    <mergeCell ref="B21:H21"/>
    <mergeCell ref="B17:H17"/>
    <mergeCell ref="E18:O18"/>
    <mergeCell ref="F6:F7"/>
    <mergeCell ref="G6:G7"/>
    <mergeCell ref="N8:O8"/>
    <mergeCell ref="N13:O13"/>
    <mergeCell ref="N17:O17"/>
    <mergeCell ref="N21:O21"/>
    <mergeCell ref="N36:O36"/>
    <mergeCell ref="N40:O42"/>
    <mergeCell ref="N30:O30"/>
    <mergeCell ref="B24:H24"/>
    <mergeCell ref="B30:B31"/>
    <mergeCell ref="C30:C31"/>
    <mergeCell ref="D30:D31"/>
    <mergeCell ref="E30:E31"/>
    <mergeCell ref="F30:F31"/>
    <mergeCell ref="G30:G31"/>
    <mergeCell ref="H30:H31"/>
    <mergeCell ref="I30:I31"/>
    <mergeCell ref="J30:J31"/>
    <mergeCell ref="K30:K31"/>
    <mergeCell ref="L30:L31"/>
    <mergeCell ref="M30:M31"/>
    <mergeCell ref="B32:H32"/>
    <mergeCell ref="B34:B35"/>
    <mergeCell ref="E34:O34"/>
    <mergeCell ref="E33:O33"/>
    <mergeCell ref="N32:O32"/>
    <mergeCell ref="E52:O52"/>
    <mergeCell ref="E53:O53"/>
    <mergeCell ref="E35:O35"/>
    <mergeCell ref="E39:O39"/>
    <mergeCell ref="E43:O43"/>
    <mergeCell ref="E44:O44"/>
    <mergeCell ref="E48:O48"/>
    <mergeCell ref="E49:O49"/>
    <mergeCell ref="B50:H50"/>
    <mergeCell ref="B52:B53"/>
    <mergeCell ref="B45:H47"/>
    <mergeCell ref="L45:L47"/>
    <mergeCell ref="M45:M47"/>
    <mergeCell ref="B36:H36"/>
    <mergeCell ref="B38:B39"/>
    <mergeCell ref="B40:H4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8"/>
  <sheetViews>
    <sheetView zoomScale="70" zoomScaleNormal="70" workbookViewId="0">
      <selection activeCell="D53" sqref="D53"/>
    </sheetView>
  </sheetViews>
  <sheetFormatPr defaultColWidth="9.140625" defaultRowHeight="15" x14ac:dyDescent="0.25"/>
  <cols>
    <col min="1" max="1" width="9.140625" style="98"/>
    <col min="2" max="2" width="15" style="98" bestFit="1" customWidth="1"/>
    <col min="3" max="3" width="23.140625" style="98" customWidth="1"/>
    <col min="4" max="4" width="11.5703125" style="98" customWidth="1"/>
    <col min="5" max="5" width="12.7109375" style="98" customWidth="1"/>
    <col min="6" max="6" width="9.140625" style="98"/>
    <col min="7" max="7" width="14.85546875" style="98" bestFit="1" customWidth="1"/>
    <col min="8" max="8" width="23.85546875" style="98" customWidth="1"/>
    <col min="9" max="9" width="12.7109375" style="98" customWidth="1"/>
    <col min="10" max="10" width="16.42578125" style="98" customWidth="1"/>
    <col min="11" max="16384" width="9.140625" style="98"/>
  </cols>
  <sheetData>
    <row r="1" spans="1:11" ht="21" x14ac:dyDescent="0.35">
      <c r="A1" s="88" t="s">
        <v>169</v>
      </c>
      <c r="B1" s="5"/>
      <c r="C1" s="5"/>
      <c r="D1" s="5"/>
      <c r="E1" s="5"/>
      <c r="F1" s="5"/>
      <c r="G1" s="5"/>
      <c r="H1" s="5"/>
      <c r="I1" s="5"/>
      <c r="J1" s="5"/>
      <c r="K1" s="5"/>
    </row>
    <row r="2" spans="1:11" ht="18.75" x14ac:dyDescent="0.3">
      <c r="A2" s="89" t="s">
        <v>170</v>
      </c>
      <c r="B2" s="5"/>
      <c r="C2" s="5"/>
      <c r="D2" s="5"/>
      <c r="E2" s="5"/>
      <c r="F2" s="5"/>
      <c r="G2" s="5"/>
      <c r="H2" s="5"/>
      <c r="I2" s="5"/>
      <c r="J2" s="5"/>
      <c r="K2" s="5"/>
    </row>
    <row r="3" spans="1:11" ht="18.75" x14ac:dyDescent="0.3">
      <c r="A3" s="90" t="s">
        <v>171</v>
      </c>
      <c r="B3" s="5"/>
      <c r="C3" s="5"/>
      <c r="D3" s="5"/>
      <c r="E3" s="5"/>
      <c r="F3" s="5"/>
      <c r="G3" s="5"/>
      <c r="H3" s="5"/>
      <c r="I3" s="5"/>
      <c r="J3" s="5"/>
      <c r="K3" s="5"/>
    </row>
    <row r="4" spans="1:11" x14ac:dyDescent="0.25">
      <c r="A4" s="5"/>
      <c r="B4" s="5"/>
      <c r="C4" s="5"/>
      <c r="D4" s="5"/>
      <c r="E4" s="5"/>
      <c r="F4" s="5"/>
      <c r="G4" s="5"/>
      <c r="H4" s="5"/>
      <c r="I4" s="5"/>
      <c r="J4" s="5"/>
      <c r="K4" s="5"/>
    </row>
    <row r="5" spans="1:11" x14ac:dyDescent="0.25">
      <c r="A5" s="5"/>
      <c r="B5" s="91" t="s">
        <v>182</v>
      </c>
      <c r="C5" s="5"/>
      <c r="D5" s="5"/>
      <c r="E5" s="5"/>
      <c r="F5" s="5"/>
      <c r="G5" s="91" t="s">
        <v>183</v>
      </c>
      <c r="H5" s="5"/>
      <c r="I5" s="5"/>
      <c r="J5" s="5"/>
      <c r="K5" s="5"/>
    </row>
    <row r="6" spans="1:11" ht="30" x14ac:dyDescent="0.25">
      <c r="A6" s="5"/>
      <c r="B6" s="26" t="s">
        <v>145</v>
      </c>
      <c r="C6" s="92" t="s">
        <v>149</v>
      </c>
      <c r="D6" s="92" t="s">
        <v>172</v>
      </c>
      <c r="E6" s="92" t="s">
        <v>173</v>
      </c>
      <c r="F6" s="5"/>
      <c r="G6" s="26" t="s">
        <v>145</v>
      </c>
      <c r="H6" s="92" t="s">
        <v>149</v>
      </c>
      <c r="I6" s="92" t="s">
        <v>172</v>
      </c>
      <c r="J6" s="92" t="s">
        <v>173</v>
      </c>
      <c r="K6" s="5"/>
    </row>
    <row r="7" spans="1:11" x14ac:dyDescent="0.25">
      <c r="A7" s="5"/>
      <c r="B7" s="93" t="s">
        <v>6</v>
      </c>
      <c r="C7" s="94" t="s">
        <v>174</v>
      </c>
      <c r="D7" s="94" t="s">
        <v>174</v>
      </c>
      <c r="E7" s="94" t="s">
        <v>174</v>
      </c>
      <c r="F7" s="5"/>
      <c r="G7" s="93" t="s">
        <v>156</v>
      </c>
      <c r="H7" s="94" t="s">
        <v>174</v>
      </c>
      <c r="I7" s="94" t="s">
        <v>174</v>
      </c>
      <c r="J7" s="94" t="s">
        <v>174</v>
      </c>
      <c r="K7" s="5"/>
    </row>
    <row r="8" spans="1:11" x14ac:dyDescent="0.25">
      <c r="A8" s="5"/>
      <c r="B8" s="33" t="s">
        <v>8</v>
      </c>
      <c r="C8" s="95">
        <v>300</v>
      </c>
      <c r="D8" s="96" t="s">
        <v>175</v>
      </c>
      <c r="E8" s="41" t="s">
        <v>176</v>
      </c>
      <c r="F8" s="5"/>
      <c r="G8" s="33" t="s">
        <v>8</v>
      </c>
      <c r="H8" s="95">
        <v>800</v>
      </c>
      <c r="I8" s="41" t="s">
        <v>176</v>
      </c>
      <c r="J8" s="41" t="s">
        <v>176</v>
      </c>
      <c r="K8" s="5"/>
    </row>
    <row r="9" spans="1:11" x14ac:dyDescent="0.25">
      <c r="A9" s="5"/>
      <c r="B9" s="33" t="s">
        <v>9</v>
      </c>
      <c r="C9" s="95">
        <v>850</v>
      </c>
      <c r="D9" s="96" t="s">
        <v>175</v>
      </c>
      <c r="E9" s="41" t="s">
        <v>176</v>
      </c>
      <c r="F9" s="5"/>
      <c r="G9" s="33" t="s">
        <v>177</v>
      </c>
      <c r="H9" s="95">
        <v>1000</v>
      </c>
      <c r="I9" s="41" t="s">
        <v>176</v>
      </c>
      <c r="J9" s="41" t="s">
        <v>176</v>
      </c>
      <c r="K9" s="5"/>
    </row>
    <row r="10" spans="1:11" x14ac:dyDescent="0.25">
      <c r="A10" s="5"/>
      <c r="B10" s="33" t="s">
        <v>177</v>
      </c>
      <c r="C10" s="95">
        <v>1500</v>
      </c>
      <c r="D10" s="41" t="s">
        <v>176</v>
      </c>
      <c r="E10" s="96" t="s">
        <v>175</v>
      </c>
      <c r="F10" s="5"/>
      <c r="G10" s="33" t="s">
        <v>178</v>
      </c>
      <c r="H10" s="95">
        <v>1800</v>
      </c>
      <c r="I10" s="41" t="s">
        <v>176</v>
      </c>
      <c r="J10" s="41" t="s">
        <v>176</v>
      </c>
      <c r="K10" s="5"/>
    </row>
    <row r="11" spans="1:11" x14ac:dyDescent="0.25">
      <c r="A11" s="5"/>
      <c r="B11" s="33" t="s">
        <v>178</v>
      </c>
      <c r="C11" s="95">
        <v>2600</v>
      </c>
      <c r="D11" s="96" t="s">
        <v>175</v>
      </c>
      <c r="E11" s="41" t="s">
        <v>176</v>
      </c>
      <c r="F11" s="5"/>
      <c r="G11" s="93" t="s">
        <v>7</v>
      </c>
      <c r="H11" s="94" t="s">
        <v>174</v>
      </c>
      <c r="I11" s="94" t="s">
        <v>174</v>
      </c>
      <c r="J11" s="94" t="s">
        <v>174</v>
      </c>
      <c r="K11" s="5"/>
    </row>
    <row r="12" spans="1:11" x14ac:dyDescent="0.25">
      <c r="A12" s="5"/>
      <c r="B12" s="93" t="s">
        <v>11</v>
      </c>
      <c r="C12" s="94" t="s">
        <v>174</v>
      </c>
      <c r="D12" s="94" t="s">
        <v>174</v>
      </c>
      <c r="E12" s="94" t="s">
        <v>174</v>
      </c>
      <c r="F12" s="5"/>
      <c r="G12" s="33" t="s">
        <v>8</v>
      </c>
      <c r="H12" s="95">
        <v>310</v>
      </c>
      <c r="I12" s="96" t="s">
        <v>175</v>
      </c>
      <c r="J12" s="41" t="s">
        <v>176</v>
      </c>
      <c r="K12" s="5"/>
    </row>
    <row r="13" spans="1:11" x14ac:dyDescent="0.25">
      <c r="A13" s="5"/>
      <c r="B13" s="33" t="s">
        <v>8</v>
      </c>
      <c r="C13" s="95">
        <v>300</v>
      </c>
      <c r="D13" s="96" t="s">
        <v>175</v>
      </c>
      <c r="E13" s="41" t="s">
        <v>176</v>
      </c>
      <c r="F13" s="5"/>
      <c r="G13" s="33" t="s">
        <v>177</v>
      </c>
      <c r="H13" s="95">
        <v>820</v>
      </c>
      <c r="I13" s="96" t="s">
        <v>175</v>
      </c>
      <c r="J13" s="41" t="s">
        <v>176</v>
      </c>
      <c r="K13" s="5"/>
    </row>
    <row r="14" spans="1:11" x14ac:dyDescent="0.25">
      <c r="A14" s="5"/>
      <c r="B14" s="33" t="s">
        <v>177</v>
      </c>
      <c r="C14" s="95">
        <v>800</v>
      </c>
      <c r="D14" s="96" t="s">
        <v>175</v>
      </c>
      <c r="E14" s="41" t="s">
        <v>176</v>
      </c>
      <c r="F14" s="5"/>
      <c r="G14" s="33" t="s">
        <v>178</v>
      </c>
      <c r="H14" s="95">
        <v>1800</v>
      </c>
      <c r="I14" s="41" t="s">
        <v>176</v>
      </c>
      <c r="J14" s="41" t="s">
        <v>176</v>
      </c>
      <c r="K14" s="5"/>
    </row>
    <row r="15" spans="1:11" x14ac:dyDescent="0.25">
      <c r="A15" s="5"/>
      <c r="B15" s="33" t="s">
        <v>178</v>
      </c>
      <c r="C15" s="95">
        <v>1500</v>
      </c>
      <c r="D15" s="96" t="s">
        <v>175</v>
      </c>
      <c r="E15" s="41" t="s">
        <v>176</v>
      </c>
      <c r="F15" s="5"/>
      <c r="G15" s="93" t="s">
        <v>157</v>
      </c>
      <c r="H15" s="94" t="s">
        <v>174</v>
      </c>
      <c r="I15" s="94" t="s">
        <v>174</v>
      </c>
      <c r="J15" s="94" t="s">
        <v>174</v>
      </c>
      <c r="K15" s="5"/>
    </row>
    <row r="16" spans="1:11" x14ac:dyDescent="0.25">
      <c r="A16" s="5"/>
      <c r="B16" s="93" t="s">
        <v>154</v>
      </c>
      <c r="C16" s="94" t="s">
        <v>174</v>
      </c>
      <c r="D16" s="94" t="s">
        <v>174</v>
      </c>
      <c r="E16" s="94" t="s">
        <v>174</v>
      </c>
      <c r="F16" s="5"/>
      <c r="G16" s="33" t="s">
        <v>8</v>
      </c>
      <c r="H16" s="97">
        <v>700</v>
      </c>
      <c r="I16" s="41" t="s">
        <v>176</v>
      </c>
      <c r="J16" s="41" t="s">
        <v>176</v>
      </c>
      <c r="K16" s="5"/>
    </row>
    <row r="17" spans="1:11" x14ac:dyDescent="0.25">
      <c r="A17" s="5"/>
      <c r="B17" s="33" t="s">
        <v>8</v>
      </c>
      <c r="C17" s="95">
        <v>700</v>
      </c>
      <c r="D17" s="41" t="s">
        <v>176</v>
      </c>
      <c r="E17" s="41" t="s">
        <v>176</v>
      </c>
      <c r="F17" s="5"/>
      <c r="G17" s="33" t="s">
        <v>10</v>
      </c>
      <c r="H17" s="97">
        <v>1500</v>
      </c>
      <c r="I17" s="41" t="s">
        <v>176</v>
      </c>
      <c r="J17" s="41" t="s">
        <v>176</v>
      </c>
      <c r="K17" s="5"/>
    </row>
    <row r="18" spans="1:11" x14ac:dyDescent="0.25">
      <c r="A18" s="5"/>
      <c r="B18" s="33" t="s">
        <v>177</v>
      </c>
      <c r="C18" s="95">
        <v>1500</v>
      </c>
      <c r="D18" s="96" t="s">
        <v>175</v>
      </c>
      <c r="E18" s="41" t="s">
        <v>176</v>
      </c>
      <c r="F18" s="5"/>
      <c r="G18" s="93" t="s">
        <v>164</v>
      </c>
      <c r="H18" s="94" t="s">
        <v>174</v>
      </c>
      <c r="I18" s="94" t="s">
        <v>174</v>
      </c>
      <c r="J18" s="94" t="s">
        <v>174</v>
      </c>
      <c r="K18" s="5"/>
    </row>
    <row r="19" spans="1:11" x14ac:dyDescent="0.25">
      <c r="A19" s="5"/>
      <c r="B19" s="33" t="s">
        <v>178</v>
      </c>
      <c r="C19" s="95">
        <v>2400</v>
      </c>
      <c r="D19" s="96" t="s">
        <v>175</v>
      </c>
      <c r="E19" s="41" t="s">
        <v>176</v>
      </c>
      <c r="F19" s="5"/>
      <c r="G19" s="33" t="s">
        <v>8</v>
      </c>
      <c r="H19" s="95">
        <v>300</v>
      </c>
      <c r="I19" s="41" t="s">
        <v>176</v>
      </c>
      <c r="J19" s="41" t="s">
        <v>176</v>
      </c>
      <c r="K19" s="5"/>
    </row>
    <row r="20" spans="1:11" x14ac:dyDescent="0.25">
      <c r="A20" s="5"/>
      <c r="B20" s="93" t="s">
        <v>13</v>
      </c>
      <c r="C20" s="94" t="s">
        <v>174</v>
      </c>
      <c r="D20" s="94" t="s">
        <v>174</v>
      </c>
      <c r="E20" s="94" t="s">
        <v>174</v>
      </c>
      <c r="F20" s="5"/>
      <c r="G20" s="33" t="s">
        <v>10</v>
      </c>
      <c r="H20" s="41" t="s">
        <v>12</v>
      </c>
      <c r="I20" s="41" t="s">
        <v>179</v>
      </c>
      <c r="J20" s="41" t="s">
        <v>179</v>
      </c>
      <c r="K20" s="5"/>
    </row>
    <row r="21" spans="1:11" x14ac:dyDescent="0.25">
      <c r="A21" s="5"/>
      <c r="B21" s="33" t="s">
        <v>8</v>
      </c>
      <c r="C21" s="95">
        <v>110</v>
      </c>
      <c r="D21" s="41" t="s">
        <v>176</v>
      </c>
      <c r="E21" s="41" t="s">
        <v>176</v>
      </c>
      <c r="F21" s="5"/>
      <c r="G21" s="93" t="s">
        <v>16</v>
      </c>
      <c r="H21" s="94" t="s">
        <v>174</v>
      </c>
      <c r="I21" s="94" t="s">
        <v>174</v>
      </c>
      <c r="J21" s="94" t="s">
        <v>174</v>
      </c>
      <c r="K21" s="5"/>
    </row>
    <row r="22" spans="1:11" x14ac:dyDescent="0.25">
      <c r="A22" s="5"/>
      <c r="B22" s="33" t="s">
        <v>10</v>
      </c>
      <c r="C22" s="95">
        <v>300</v>
      </c>
      <c r="D22" s="96" t="s">
        <v>175</v>
      </c>
      <c r="E22" s="41" t="s">
        <v>176</v>
      </c>
      <c r="F22" s="5"/>
      <c r="G22" s="33" t="s">
        <v>8</v>
      </c>
      <c r="H22" s="95">
        <v>110</v>
      </c>
      <c r="I22" s="96" t="s">
        <v>175</v>
      </c>
      <c r="J22" s="41" t="s">
        <v>176</v>
      </c>
      <c r="K22" s="5"/>
    </row>
    <row r="23" spans="1:11" x14ac:dyDescent="0.25">
      <c r="A23" s="5"/>
      <c r="B23" s="93" t="s">
        <v>14</v>
      </c>
      <c r="C23" s="94" t="s">
        <v>174</v>
      </c>
      <c r="D23" s="94" t="s">
        <v>174</v>
      </c>
      <c r="E23" s="94" t="s">
        <v>174</v>
      </c>
      <c r="F23" s="5"/>
      <c r="G23" s="33" t="s">
        <v>10</v>
      </c>
      <c r="H23" s="41" t="s">
        <v>12</v>
      </c>
      <c r="I23" s="41" t="s">
        <v>179</v>
      </c>
      <c r="J23" s="41" t="s">
        <v>179</v>
      </c>
      <c r="K23" s="5"/>
    </row>
    <row r="24" spans="1:11" x14ac:dyDescent="0.25">
      <c r="A24" s="5"/>
      <c r="B24" s="33" t="s">
        <v>8</v>
      </c>
      <c r="C24" s="95">
        <v>110</v>
      </c>
      <c r="D24" s="96" t="s">
        <v>175</v>
      </c>
      <c r="E24" s="41" t="s">
        <v>176</v>
      </c>
      <c r="F24" s="5"/>
      <c r="G24" s="5"/>
      <c r="H24" s="5"/>
      <c r="I24" s="5"/>
      <c r="J24" s="5"/>
      <c r="K24" s="5"/>
    </row>
    <row r="25" spans="1:11" x14ac:dyDescent="0.25">
      <c r="A25" s="5"/>
      <c r="B25" s="33" t="s">
        <v>10</v>
      </c>
      <c r="C25" s="95">
        <v>200</v>
      </c>
      <c r="D25" s="96" t="s">
        <v>175</v>
      </c>
      <c r="E25" s="41" t="s">
        <v>176</v>
      </c>
      <c r="F25" s="5"/>
      <c r="G25" s="5"/>
      <c r="H25" s="5"/>
      <c r="I25" s="5"/>
      <c r="J25" s="5"/>
      <c r="K25" s="5"/>
    </row>
    <row r="26" spans="1:11" x14ac:dyDescent="0.25">
      <c r="A26" s="5"/>
      <c r="B26" s="5"/>
      <c r="C26" s="5"/>
      <c r="D26" s="5"/>
      <c r="E26" s="5"/>
      <c r="F26" s="5"/>
      <c r="G26" s="5"/>
      <c r="H26" s="5"/>
      <c r="I26" s="5"/>
      <c r="J26" s="5"/>
      <c r="K26" s="5"/>
    </row>
    <row r="27" spans="1:11" x14ac:dyDescent="0.25">
      <c r="A27" s="5"/>
      <c r="B27" s="5"/>
      <c r="C27" s="5"/>
      <c r="D27" s="5"/>
      <c r="E27" s="5"/>
      <c r="F27" s="5"/>
      <c r="G27" s="5"/>
      <c r="H27" s="5"/>
      <c r="I27" s="5"/>
      <c r="J27" s="5"/>
      <c r="K27" s="5"/>
    </row>
    <row r="28" spans="1:11" x14ac:dyDescent="0.25">
      <c r="A28" s="5"/>
      <c r="B28" s="5"/>
      <c r="C28" s="5"/>
      <c r="D28" s="5"/>
      <c r="E28" s="5"/>
      <c r="F28" s="5"/>
      <c r="G28" s="5"/>
      <c r="H28" s="5"/>
      <c r="I28" s="5"/>
      <c r="J28" s="5"/>
      <c r="K28" s="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322"/>
  <sheetViews>
    <sheetView zoomScale="70" zoomScaleNormal="70" workbookViewId="0">
      <selection activeCell="F145" sqref="F145:F146"/>
    </sheetView>
  </sheetViews>
  <sheetFormatPr defaultColWidth="9.140625" defaultRowHeight="15" x14ac:dyDescent="0.25"/>
  <cols>
    <col min="1" max="1" width="11.7109375" style="5" bestFit="1" customWidth="1"/>
    <col min="2" max="2" width="10.85546875" style="5" bestFit="1" customWidth="1"/>
    <col min="3" max="3" width="18.140625" style="5" customWidth="1"/>
    <col min="4" max="5" width="18.42578125" style="5" customWidth="1"/>
    <col min="6" max="6" width="63.28515625" style="5" customWidth="1"/>
    <col min="7" max="7" width="24.7109375" style="5" customWidth="1"/>
    <col min="8" max="8" width="28.28515625" style="5" bestFit="1" customWidth="1"/>
    <col min="9" max="9" width="22.85546875" style="5" bestFit="1" customWidth="1"/>
    <col min="10" max="10" width="15.42578125" style="5" customWidth="1"/>
    <col min="11" max="12" width="13.7109375" style="5" customWidth="1"/>
    <col min="13" max="13" width="12.85546875" style="5" customWidth="1"/>
    <col min="14" max="14" width="9.140625" style="5" customWidth="1"/>
    <col min="15" max="15" width="16.5703125" style="5" customWidth="1"/>
    <col min="16" max="16" width="19.42578125" style="5" customWidth="1"/>
    <col min="17" max="17" width="14.85546875" style="5" customWidth="1"/>
    <col min="18" max="18" width="20.28515625" style="5" customWidth="1"/>
    <col min="19" max="19" width="20.7109375" style="5" customWidth="1"/>
    <col min="20" max="20" width="15.85546875" style="5" customWidth="1"/>
    <col min="21" max="21" width="16.85546875" style="5" customWidth="1"/>
    <col min="22" max="22" width="10" style="5" bestFit="1" customWidth="1"/>
    <col min="23" max="23" width="10.28515625" style="5" customWidth="1"/>
    <col min="24" max="24" width="9.85546875" style="5" customWidth="1"/>
    <col min="25" max="25" width="12.42578125" style="5" customWidth="1"/>
    <col min="26" max="28" width="9.140625" style="5" customWidth="1"/>
    <col min="29" max="16384" width="9.140625" style="5"/>
  </cols>
  <sheetData>
    <row r="1" spans="1:25" ht="21" x14ac:dyDescent="0.35">
      <c r="A1" s="88" t="s">
        <v>169</v>
      </c>
      <c r="I1" s="132"/>
      <c r="J1" s="132"/>
      <c r="K1" s="132"/>
      <c r="L1" s="132"/>
    </row>
    <row r="2" spans="1:25" ht="18.75" x14ac:dyDescent="0.3">
      <c r="A2" s="89" t="s">
        <v>170</v>
      </c>
      <c r="I2" s="132"/>
      <c r="J2" s="132"/>
      <c r="K2" s="132"/>
      <c r="L2" s="132"/>
    </row>
    <row r="3" spans="1:25" ht="18.75" x14ac:dyDescent="0.3">
      <c r="A3" s="90" t="s">
        <v>180</v>
      </c>
      <c r="H3" s="36"/>
      <c r="I3" s="132"/>
      <c r="J3" s="132"/>
      <c r="K3" s="132"/>
      <c r="L3" s="132"/>
    </row>
    <row r="4" spans="1:25" x14ac:dyDescent="0.25">
      <c r="H4" s="36"/>
    </row>
    <row r="5" spans="1:25" ht="18.75" x14ac:dyDescent="0.3">
      <c r="B5" s="99" t="s">
        <v>186</v>
      </c>
      <c r="G5" s="36"/>
    </row>
    <row r="6" spans="1:25" ht="15.75" thickBot="1" x14ac:dyDescent="0.3">
      <c r="S6" s="52" t="s">
        <v>187</v>
      </c>
    </row>
    <row r="7" spans="1:25" ht="15.75" customHeight="1" thickBot="1" x14ac:dyDescent="0.3">
      <c r="B7" s="355" t="s">
        <v>37</v>
      </c>
      <c r="C7" s="356"/>
      <c r="F7" s="6" t="s">
        <v>62</v>
      </c>
      <c r="G7" s="7">
        <f>10.26-0.0086*Q10</f>
        <v>7.68</v>
      </c>
      <c r="H7" s="5" t="s">
        <v>189</v>
      </c>
      <c r="J7" s="8" t="s">
        <v>68</v>
      </c>
      <c r="M7" s="5" t="s">
        <v>190</v>
      </c>
      <c r="S7" s="100" t="s">
        <v>188</v>
      </c>
    </row>
    <row r="8" spans="1:25" ht="36" customHeight="1" thickBot="1" x14ac:dyDescent="0.35">
      <c r="B8" s="9"/>
      <c r="C8" s="357" t="s">
        <v>89</v>
      </c>
      <c r="D8" s="357"/>
      <c r="E8" s="357"/>
      <c r="F8" s="357"/>
      <c r="G8" s="357"/>
      <c r="H8" s="357"/>
      <c r="I8" s="357"/>
      <c r="J8" s="357"/>
      <c r="K8" s="357"/>
      <c r="L8" s="10"/>
      <c r="M8" s="10">
        <v>1.25</v>
      </c>
      <c r="O8" s="99" t="s">
        <v>185</v>
      </c>
      <c r="R8" s="5" t="s">
        <v>193</v>
      </c>
      <c r="S8" s="5" t="s">
        <v>194</v>
      </c>
    </row>
    <row r="9" spans="1:25" ht="45.75" thickBot="1" x14ac:dyDescent="0.3">
      <c r="B9" s="351" t="s">
        <v>61</v>
      </c>
      <c r="C9" s="351" t="s">
        <v>17</v>
      </c>
      <c r="D9" s="351" t="s">
        <v>18</v>
      </c>
      <c r="E9" s="351" t="s">
        <v>207</v>
      </c>
      <c r="F9" s="351" t="s">
        <v>19</v>
      </c>
      <c r="G9" s="361" t="s">
        <v>28</v>
      </c>
      <c r="H9" s="362"/>
      <c r="I9" s="363"/>
      <c r="J9" s="353" t="s">
        <v>26</v>
      </c>
      <c r="K9" s="354"/>
      <c r="L9" s="358" t="s">
        <v>60</v>
      </c>
      <c r="M9" s="368" t="s">
        <v>85</v>
      </c>
      <c r="O9" s="12" t="s">
        <v>11</v>
      </c>
      <c r="P9" s="13" t="s">
        <v>0</v>
      </c>
      <c r="Q9" s="14" t="s">
        <v>63</v>
      </c>
      <c r="R9" s="11" t="s">
        <v>121</v>
      </c>
      <c r="S9" s="11" t="s">
        <v>122</v>
      </c>
      <c r="T9" s="15" t="s">
        <v>1</v>
      </c>
    </row>
    <row r="10" spans="1:25" ht="25.5" x14ac:dyDescent="0.25">
      <c r="B10" s="352"/>
      <c r="C10" s="352"/>
      <c r="D10" s="352"/>
      <c r="E10" s="364"/>
      <c r="F10" s="352"/>
      <c r="G10" s="16" t="s">
        <v>27</v>
      </c>
      <c r="H10" s="16" t="s">
        <v>29</v>
      </c>
      <c r="I10" s="16" t="s">
        <v>192</v>
      </c>
      <c r="J10" s="16" t="s">
        <v>25</v>
      </c>
      <c r="K10" s="17" t="s">
        <v>24</v>
      </c>
      <c r="L10" s="359"/>
      <c r="M10" s="369"/>
      <c r="O10" s="18" t="s">
        <v>8</v>
      </c>
      <c r="P10" s="19">
        <v>0.23586347427407034</v>
      </c>
      <c r="Q10" s="20">
        <v>300</v>
      </c>
      <c r="R10" s="21">
        <v>25.6</v>
      </c>
      <c r="S10" s="21">
        <v>25.6</v>
      </c>
      <c r="T10" s="22" t="s">
        <v>12</v>
      </c>
      <c r="Y10" s="23"/>
    </row>
    <row r="11" spans="1:25" ht="30" x14ac:dyDescent="0.25">
      <c r="B11" s="24">
        <v>1</v>
      </c>
      <c r="C11" s="24">
        <v>7.68</v>
      </c>
      <c r="D11" s="150">
        <v>0</v>
      </c>
      <c r="E11" s="150"/>
      <c r="F11" s="151" t="s">
        <v>20</v>
      </c>
      <c r="G11" s="124">
        <v>0</v>
      </c>
      <c r="H11" s="151" t="s">
        <v>20</v>
      </c>
      <c r="I11" s="152" t="s">
        <v>188</v>
      </c>
      <c r="J11" s="123"/>
      <c r="K11" s="123">
        <v>0</v>
      </c>
      <c r="L11" s="123">
        <v>910.07</v>
      </c>
      <c r="M11" s="124">
        <f>L11*$M$8</f>
        <v>1137.5875000000001</v>
      </c>
      <c r="O11" s="26" t="s">
        <v>64</v>
      </c>
      <c r="P11" s="26" t="s">
        <v>65</v>
      </c>
      <c r="Q11" s="26" t="s">
        <v>66</v>
      </c>
      <c r="R11" s="26" t="s">
        <v>120</v>
      </c>
      <c r="S11" s="26" t="s">
        <v>123</v>
      </c>
      <c r="T11" s="350" t="s">
        <v>67</v>
      </c>
      <c r="U11" s="350"/>
      <c r="V11" s="350"/>
      <c r="W11" s="350"/>
      <c r="X11" s="350"/>
      <c r="Y11" s="350"/>
    </row>
    <row r="12" spans="1:25" x14ac:dyDescent="0.25">
      <c r="A12" s="160"/>
      <c r="B12" s="24">
        <v>2</v>
      </c>
      <c r="C12" s="27">
        <f>ROUND($C$11*(1-D12),2)</f>
        <v>7.2</v>
      </c>
      <c r="D12" s="150">
        <f>E12+D11</f>
        <v>6.2189054726368098E-2</v>
      </c>
      <c r="E12" s="150">
        <v>6.2189054726368098E-2</v>
      </c>
      <c r="F12" s="151" t="s">
        <v>51</v>
      </c>
      <c r="G12" s="25">
        <v>325.52</v>
      </c>
      <c r="H12" s="151" t="s">
        <v>30</v>
      </c>
      <c r="I12" s="152" t="s">
        <v>175</v>
      </c>
      <c r="J12" s="133">
        <f>G12*1.05^((LOG(5.25/4.86)/LOG(1.02)))-G12</f>
        <v>68.186415657846965</v>
      </c>
      <c r="K12" s="1">
        <f>K11+J12</f>
        <v>68.186415657846965</v>
      </c>
      <c r="L12" s="1">
        <f t="shared" ref="L12:L19" si="0">$L$11+K12</f>
        <v>978.25641565784701</v>
      </c>
      <c r="M12" s="25">
        <f>L12*$M$8</f>
        <v>1222.8205195723087</v>
      </c>
      <c r="O12" s="28" t="s">
        <v>69</v>
      </c>
      <c r="P12" s="153">
        <v>0</v>
      </c>
      <c r="Q12" s="154">
        <v>0</v>
      </c>
      <c r="R12" s="155">
        <f>M11</f>
        <v>1137.5875000000001</v>
      </c>
      <c r="S12" s="156">
        <f t="shared" ref="S12:S18" si="1">IF($R$10=$S$10,$S$10,IF(RIGHT(O12)&gt;=RIGHT($S$7),$S$10,$R$10))</f>
        <v>25.6</v>
      </c>
      <c r="T12" s="33"/>
      <c r="U12" s="33"/>
      <c r="V12" s="33"/>
      <c r="W12" s="33"/>
      <c r="X12" s="33"/>
      <c r="Y12" s="33"/>
    </row>
    <row r="13" spans="1:25" x14ac:dyDescent="0.25">
      <c r="A13" s="160"/>
      <c r="B13" s="24">
        <v>3</v>
      </c>
      <c r="C13" s="27">
        <f t="shared" ref="C13" si="2">ROUND($C$11*(1-D13),2)</f>
        <v>7.09</v>
      </c>
      <c r="D13" s="150">
        <f t="shared" ref="D13:D19" si="3">E13+D12</f>
        <v>7.711442786069643E-2</v>
      </c>
      <c r="E13" s="150">
        <v>1.4925373134328332E-2</v>
      </c>
      <c r="F13" s="151" t="s">
        <v>52</v>
      </c>
      <c r="G13" s="25">
        <v>57.38</v>
      </c>
      <c r="H13" s="151" t="s">
        <v>31</v>
      </c>
      <c r="I13" s="152" t="s">
        <v>175</v>
      </c>
      <c r="J13" s="1">
        <v>4.17</v>
      </c>
      <c r="K13" s="1">
        <f t="shared" ref="K13:K19" si="4">K12+J13</f>
        <v>72.356415657846966</v>
      </c>
      <c r="L13" s="1">
        <f t="shared" si="0"/>
        <v>982.42641565784697</v>
      </c>
      <c r="M13" s="25">
        <f t="shared" ref="M13" si="5">L13*$M$8</f>
        <v>1228.0330195723086</v>
      </c>
      <c r="O13" s="28" t="s">
        <v>15</v>
      </c>
      <c r="P13" s="153">
        <v>0.1</v>
      </c>
      <c r="Q13" s="154">
        <f>$K$13+($K$19-$K$13)*(P13-$D$13)/($D$19-$D$13)</f>
        <v>127.06574899118053</v>
      </c>
      <c r="R13" s="155">
        <f t="shared" ref="R13:R18" si="6">Q13*$M$8</f>
        <v>158.83218623897565</v>
      </c>
      <c r="S13" s="156">
        <f t="shared" si="1"/>
        <v>25.6</v>
      </c>
      <c r="T13" s="2"/>
      <c r="U13" s="2"/>
      <c r="V13" s="33"/>
      <c r="W13" s="33"/>
      <c r="X13" s="33"/>
      <c r="Y13" s="33"/>
    </row>
    <row r="14" spans="1:25" x14ac:dyDescent="0.25">
      <c r="A14" s="160"/>
      <c r="B14" s="24">
        <v>4</v>
      </c>
      <c r="C14" s="27">
        <f t="shared" ref="C14:C19" si="7">ROUND($C$11*(1-D14),2)</f>
        <v>6.86</v>
      </c>
      <c r="D14" s="150">
        <f t="shared" si="3"/>
        <v>0.10696517412935307</v>
      </c>
      <c r="E14" s="150">
        <v>2.9850746268656636E-2</v>
      </c>
      <c r="F14" s="151" t="s">
        <v>54</v>
      </c>
      <c r="G14" s="25">
        <v>18.02</v>
      </c>
      <c r="H14" s="151" t="s">
        <v>32</v>
      </c>
      <c r="I14" s="152" t="s">
        <v>175</v>
      </c>
      <c r="J14" s="1">
        <v>12.08</v>
      </c>
      <c r="K14" s="1">
        <f t="shared" si="4"/>
        <v>84.436415657846965</v>
      </c>
      <c r="L14" s="1">
        <f t="shared" si="0"/>
        <v>994.50641565784701</v>
      </c>
      <c r="M14" s="25">
        <f t="shared" ref="M14:M19" si="8">L14*$M$8</f>
        <v>1243.1330195723087</v>
      </c>
      <c r="O14" s="28" t="s">
        <v>2</v>
      </c>
      <c r="P14" s="153">
        <v>0.15</v>
      </c>
      <c r="Q14" s="154">
        <f>$K$13+($K$19-$K$13)*(P14-$D$13)/($D$19-$D$13)</f>
        <v>246.59374899118052</v>
      </c>
      <c r="R14" s="155">
        <f t="shared" si="6"/>
        <v>308.24218623897565</v>
      </c>
      <c r="S14" s="156">
        <f t="shared" si="1"/>
        <v>25.6</v>
      </c>
      <c r="T14" s="2"/>
      <c r="U14" s="2"/>
      <c r="V14" s="33"/>
      <c r="W14" s="33"/>
      <c r="X14" s="33"/>
      <c r="Y14" s="33"/>
    </row>
    <row r="15" spans="1:25" x14ac:dyDescent="0.25">
      <c r="A15" s="160"/>
      <c r="B15" s="24">
        <v>5</v>
      </c>
      <c r="C15" s="27">
        <f t="shared" si="7"/>
        <v>6.75</v>
      </c>
      <c r="D15" s="150">
        <f t="shared" si="3"/>
        <v>0.12064676616915411</v>
      </c>
      <c r="E15" s="150">
        <v>1.3681592039801044E-2</v>
      </c>
      <c r="F15" s="151" t="s">
        <v>55</v>
      </c>
      <c r="G15" s="25">
        <v>30.11</v>
      </c>
      <c r="H15" s="151" t="s">
        <v>32</v>
      </c>
      <c r="I15" s="152" t="s">
        <v>176</v>
      </c>
      <c r="J15" s="1">
        <v>7.7</v>
      </c>
      <c r="K15" s="1">
        <f t="shared" si="4"/>
        <v>92.136415657846968</v>
      </c>
      <c r="L15" s="1">
        <f t="shared" si="0"/>
        <v>1002.2064156578471</v>
      </c>
      <c r="M15" s="25">
        <f t="shared" si="8"/>
        <v>1252.7580195723087</v>
      </c>
      <c r="O15" s="28" t="s">
        <v>3</v>
      </c>
      <c r="P15" s="162">
        <v>0.15</v>
      </c>
      <c r="Q15" s="154">
        <f>$K$13+($K$19-$K$13)*(P15-$D$13)/($D$19-$D$13)</f>
        <v>246.59374899118052</v>
      </c>
      <c r="R15" s="155">
        <f t="shared" si="6"/>
        <v>308.24218623897565</v>
      </c>
      <c r="S15" s="156">
        <f t="shared" si="1"/>
        <v>25.6</v>
      </c>
      <c r="T15" s="2"/>
      <c r="U15" s="2"/>
      <c r="V15" s="33"/>
      <c r="W15" s="33"/>
      <c r="X15" s="33"/>
      <c r="Y15" s="33"/>
    </row>
    <row r="16" spans="1:25" x14ac:dyDescent="0.25">
      <c r="A16" s="160"/>
      <c r="B16" s="24">
        <v>6</v>
      </c>
      <c r="C16" s="27">
        <f t="shared" si="7"/>
        <v>6.64</v>
      </c>
      <c r="D16" s="150">
        <f t="shared" si="3"/>
        <v>0.13557213930348244</v>
      </c>
      <c r="E16" s="150">
        <v>1.4925373134328346E-2</v>
      </c>
      <c r="F16" s="151" t="s">
        <v>56</v>
      </c>
      <c r="G16" s="25">
        <v>61.54</v>
      </c>
      <c r="H16" s="151" t="s">
        <v>31</v>
      </c>
      <c r="I16" s="152" t="s">
        <v>175</v>
      </c>
      <c r="J16" s="1">
        <v>7.59</v>
      </c>
      <c r="K16" s="1">
        <f t="shared" si="4"/>
        <v>99.726415657846971</v>
      </c>
      <c r="L16" s="1">
        <f t="shared" si="0"/>
        <v>1009.796415657847</v>
      </c>
      <c r="M16" s="25">
        <f t="shared" si="8"/>
        <v>1262.2455195723087</v>
      </c>
      <c r="O16" s="28" t="s">
        <v>4</v>
      </c>
      <c r="P16" s="162">
        <v>0.15</v>
      </c>
      <c r="Q16" s="157">
        <f>ROUND(K15+(K16-K15)*(P16-D15)/(D16-D15),2)</f>
        <v>107.06</v>
      </c>
      <c r="R16" s="155">
        <f t="shared" si="6"/>
        <v>133.82499999999999</v>
      </c>
      <c r="S16" s="156">
        <f t="shared" si="1"/>
        <v>25.6</v>
      </c>
      <c r="T16" s="35"/>
      <c r="U16" s="155"/>
      <c r="V16" s="24"/>
      <c r="W16" s="35"/>
      <c r="X16" s="35"/>
      <c r="Y16" s="154"/>
    </row>
    <row r="17" spans="1:25" x14ac:dyDescent="0.25">
      <c r="A17" s="160"/>
      <c r="B17" s="24">
        <v>7</v>
      </c>
      <c r="C17" s="27">
        <f t="shared" si="7"/>
        <v>6.47</v>
      </c>
      <c r="D17" s="150">
        <f t="shared" si="3"/>
        <v>0.15796019900497499</v>
      </c>
      <c r="E17" s="150">
        <v>2.2388059701492546E-2</v>
      </c>
      <c r="F17" s="151" t="s">
        <v>57</v>
      </c>
      <c r="G17" s="25">
        <v>14.35</v>
      </c>
      <c r="H17" s="151" t="s">
        <v>33</v>
      </c>
      <c r="I17" s="152" t="s">
        <v>176</v>
      </c>
      <c r="J17" s="1">
        <v>21.31</v>
      </c>
      <c r="K17" s="1">
        <f t="shared" si="4"/>
        <v>121.03641565784697</v>
      </c>
      <c r="L17" s="1">
        <f t="shared" si="0"/>
        <v>1031.106415657847</v>
      </c>
      <c r="M17" s="25">
        <f t="shared" si="8"/>
        <v>1288.8830195723087</v>
      </c>
      <c r="O17" s="28" t="s">
        <v>5</v>
      </c>
      <c r="P17" s="162">
        <v>0.15</v>
      </c>
      <c r="Q17" s="163">
        <f>U17-(Y17+Y18)</f>
        <v>372.20908232451347</v>
      </c>
      <c r="R17" s="155">
        <f t="shared" si="6"/>
        <v>465.26135290564184</v>
      </c>
      <c r="S17" s="156">
        <f t="shared" si="1"/>
        <v>25.6</v>
      </c>
      <c r="T17" s="35">
        <f>D18</f>
        <v>0.18532338308457702</v>
      </c>
      <c r="U17" s="155">
        <f>K18</f>
        <v>331.03641565784699</v>
      </c>
      <c r="V17" s="24"/>
      <c r="W17" s="35">
        <f>T17-P17</f>
        <v>3.5323383084577026E-2</v>
      </c>
      <c r="X17" s="35">
        <f>(D16-D15)</f>
        <v>1.4925373134328332E-2</v>
      </c>
      <c r="Y17" s="154">
        <f>J16</f>
        <v>7.59</v>
      </c>
    </row>
    <row r="18" spans="1:25" x14ac:dyDescent="0.25">
      <c r="A18" s="160"/>
      <c r="B18" s="24">
        <v>8</v>
      </c>
      <c r="C18" s="27">
        <f t="shared" si="7"/>
        <v>6.26</v>
      </c>
      <c r="D18" s="150">
        <f t="shared" si="3"/>
        <v>0.18532338308457702</v>
      </c>
      <c r="E18" s="159">
        <v>2.7363184079602032E-2</v>
      </c>
      <c r="F18" s="151" t="s">
        <v>58</v>
      </c>
      <c r="G18" s="25">
        <v>0</v>
      </c>
      <c r="H18" s="151" t="s">
        <v>58</v>
      </c>
      <c r="I18" s="152" t="s">
        <v>176</v>
      </c>
      <c r="J18" s="1">
        <v>210</v>
      </c>
      <c r="K18" s="1">
        <f t="shared" si="4"/>
        <v>331.03641565784699</v>
      </c>
      <c r="L18" s="1">
        <f t="shared" si="0"/>
        <v>1241.106415657847</v>
      </c>
      <c r="M18" s="25">
        <f t="shared" si="8"/>
        <v>1551.3830195723087</v>
      </c>
      <c r="O18" s="28" t="s">
        <v>70</v>
      </c>
      <c r="P18" s="158">
        <f>D18</f>
        <v>0.18532338308457702</v>
      </c>
      <c r="Q18" s="38">
        <f>K18</f>
        <v>331.03641565784699</v>
      </c>
      <c r="R18" s="155">
        <f t="shared" si="6"/>
        <v>413.79551957230876</v>
      </c>
      <c r="S18" s="156">
        <f t="shared" si="1"/>
        <v>25.6</v>
      </c>
      <c r="T18" s="2"/>
      <c r="U18" s="2"/>
      <c r="V18" s="33"/>
      <c r="W18" s="35">
        <f>X17-W17</f>
        <v>-2.0398009950248694E-2</v>
      </c>
      <c r="X18" s="35">
        <f>D19-W18</f>
        <v>0.20572139303482573</v>
      </c>
      <c r="Y18" s="154">
        <f>($K$19-$K$13)-($K$19-$K$13)*(X18-$D$13)/($D$19-$D$13)</f>
        <v>-48.762666666666519</v>
      </c>
    </row>
    <row r="19" spans="1:25" x14ac:dyDescent="0.25">
      <c r="A19" s="160"/>
      <c r="B19" s="164">
        <v>9</v>
      </c>
      <c r="C19" s="27">
        <f t="shared" si="7"/>
        <v>6.26</v>
      </c>
      <c r="D19" s="150">
        <f t="shared" si="3"/>
        <v>0.18532338308457702</v>
      </c>
      <c r="E19" s="161">
        <v>0</v>
      </c>
      <c r="F19" s="184" t="s">
        <v>53</v>
      </c>
      <c r="G19" s="25">
        <v>87.77</v>
      </c>
      <c r="H19" s="151" t="s">
        <v>59</v>
      </c>
      <c r="I19" s="152" t="s">
        <v>175</v>
      </c>
      <c r="J19" s="133">
        <v>0</v>
      </c>
      <c r="K19" s="1">
        <f t="shared" si="4"/>
        <v>331.03641565784699</v>
      </c>
      <c r="L19" s="1">
        <f t="shared" si="0"/>
        <v>1241.106415657847</v>
      </c>
      <c r="M19" s="25">
        <f t="shared" si="8"/>
        <v>1551.3830195723087</v>
      </c>
    </row>
    <row r="20" spans="1:25" ht="19.5" thickBot="1" x14ac:dyDescent="0.35">
      <c r="O20" s="99" t="s">
        <v>184</v>
      </c>
    </row>
    <row r="21" spans="1:25" ht="15.75" thickBot="1" x14ac:dyDescent="0.3">
      <c r="O21" s="360" t="s">
        <v>69</v>
      </c>
      <c r="P21" s="360" t="s">
        <v>15</v>
      </c>
      <c r="Q21" s="360" t="s">
        <v>2</v>
      </c>
      <c r="R21" s="360" t="s">
        <v>3</v>
      </c>
      <c r="S21" s="360" t="s">
        <v>4</v>
      </c>
      <c r="T21" s="360" t="s">
        <v>5</v>
      </c>
      <c r="U21" s="360" t="s">
        <v>70</v>
      </c>
      <c r="V21" s="360" t="s">
        <v>150</v>
      </c>
      <c r="W21" s="360"/>
    </row>
    <row r="22" spans="1:25" ht="15.75" thickBot="1" x14ac:dyDescent="0.3">
      <c r="O22" s="360"/>
      <c r="P22" s="360"/>
      <c r="Q22" s="360"/>
      <c r="R22" s="360"/>
      <c r="S22" s="360"/>
      <c r="T22" s="360"/>
      <c r="U22" s="360"/>
      <c r="V22" s="4" t="s">
        <v>151</v>
      </c>
      <c r="W22" s="4" t="s">
        <v>152</v>
      </c>
    </row>
    <row r="23" spans="1:25" ht="15.75" thickBot="1" x14ac:dyDescent="0.3">
      <c r="O23" s="111">
        <f>Q12</f>
        <v>0</v>
      </c>
      <c r="P23" s="111">
        <f>Q13</f>
        <v>127.06574899118053</v>
      </c>
      <c r="Q23" s="111">
        <f>Q14</f>
        <v>246.59374899118052</v>
      </c>
      <c r="R23" s="111">
        <f>Q15</f>
        <v>246.59374899118052</v>
      </c>
      <c r="S23" s="112">
        <f>Q16</f>
        <v>107.06</v>
      </c>
      <c r="T23" s="111">
        <f>Q17</f>
        <v>372.20908232451347</v>
      </c>
      <c r="U23" s="111">
        <f>Q18</f>
        <v>331.03641565784699</v>
      </c>
      <c r="V23" s="113">
        <f>MAX(P12:P18)</f>
        <v>0.18532338308457702</v>
      </c>
      <c r="W23" s="111">
        <f>MAX(O23:U23)</f>
        <v>372.20908232451347</v>
      </c>
    </row>
    <row r="25" spans="1:25" s="87" customFormat="1" x14ac:dyDescent="0.25"/>
    <row r="26" spans="1:25" s="87" customFormat="1" x14ac:dyDescent="0.25"/>
    <row r="27" spans="1:25" ht="18.75" x14ac:dyDescent="0.3">
      <c r="B27" s="99" t="s">
        <v>186</v>
      </c>
    </row>
    <row r="28" spans="1:25" ht="15.75" thickBot="1" x14ac:dyDescent="0.3">
      <c r="S28" s="52" t="s">
        <v>187</v>
      </c>
    </row>
    <row r="29" spans="1:25" ht="19.5" thickBot="1" x14ac:dyDescent="0.3">
      <c r="B29" s="355" t="s">
        <v>45</v>
      </c>
      <c r="C29" s="356"/>
      <c r="F29" s="6" t="s">
        <v>62</v>
      </c>
      <c r="G29" s="7">
        <f>6.89-0.0011*Q32</f>
        <v>6.01</v>
      </c>
      <c r="H29" s="5" t="s">
        <v>189</v>
      </c>
      <c r="J29" s="8" t="s">
        <v>71</v>
      </c>
      <c r="M29" s="5" t="s">
        <v>190</v>
      </c>
      <c r="S29" s="11" t="s">
        <v>3</v>
      </c>
    </row>
    <row r="30" spans="1:25" ht="37.5" customHeight="1" thickBot="1" x14ac:dyDescent="0.35">
      <c r="C30" s="357" t="s">
        <v>90</v>
      </c>
      <c r="D30" s="357"/>
      <c r="E30" s="357"/>
      <c r="F30" s="357"/>
      <c r="G30" s="357"/>
      <c r="H30" s="357"/>
      <c r="I30" s="357"/>
      <c r="J30" s="357"/>
      <c r="K30" s="357"/>
      <c r="L30" s="10"/>
      <c r="M30" s="10">
        <v>1.25</v>
      </c>
      <c r="O30" s="99" t="s">
        <v>185</v>
      </c>
      <c r="R30" s="5" t="s">
        <v>193</v>
      </c>
      <c r="S30" s="5" t="s">
        <v>194</v>
      </c>
    </row>
    <row r="31" spans="1:25" ht="45.75" thickBot="1" x14ac:dyDescent="0.3">
      <c r="B31" s="351" t="s">
        <v>61</v>
      </c>
      <c r="C31" s="351" t="s">
        <v>17</v>
      </c>
      <c r="D31" s="351" t="s">
        <v>18</v>
      </c>
      <c r="E31" s="351" t="s">
        <v>207</v>
      </c>
      <c r="F31" s="351" t="s">
        <v>19</v>
      </c>
      <c r="G31" s="361" t="s">
        <v>28</v>
      </c>
      <c r="H31" s="362"/>
      <c r="I31" s="363"/>
      <c r="J31" s="353" t="s">
        <v>26</v>
      </c>
      <c r="K31" s="354"/>
      <c r="L31" s="358" t="s">
        <v>60</v>
      </c>
      <c r="M31" s="368" t="s">
        <v>85</v>
      </c>
      <c r="O31" s="12" t="s">
        <v>11</v>
      </c>
      <c r="P31" s="13" t="s">
        <v>0</v>
      </c>
      <c r="Q31" s="14" t="s">
        <v>63</v>
      </c>
      <c r="R31" s="11" t="s">
        <v>121</v>
      </c>
      <c r="S31" s="11" t="s">
        <v>122</v>
      </c>
      <c r="T31" s="15" t="s">
        <v>1</v>
      </c>
    </row>
    <row r="32" spans="1:25" ht="25.5" x14ac:dyDescent="0.25">
      <c r="B32" s="352"/>
      <c r="C32" s="352"/>
      <c r="D32" s="352"/>
      <c r="E32" s="364"/>
      <c r="F32" s="352"/>
      <c r="G32" s="16" t="s">
        <v>27</v>
      </c>
      <c r="H32" s="16" t="s">
        <v>29</v>
      </c>
      <c r="I32" s="16" t="s">
        <v>192</v>
      </c>
      <c r="J32" s="16" t="s">
        <v>25</v>
      </c>
      <c r="K32" s="17" t="s">
        <v>24</v>
      </c>
      <c r="L32" s="359"/>
      <c r="M32" s="370"/>
      <c r="O32" s="18" t="s">
        <v>78</v>
      </c>
      <c r="P32" s="19">
        <v>0.20723006183605511</v>
      </c>
      <c r="Q32" s="20">
        <v>800</v>
      </c>
      <c r="R32" s="21">
        <v>22.7</v>
      </c>
      <c r="S32" s="21">
        <v>20</v>
      </c>
      <c r="T32" s="22" t="s">
        <v>12</v>
      </c>
    </row>
    <row r="33" spans="1:25" ht="30" x14ac:dyDescent="0.25">
      <c r="B33" s="24">
        <v>1</v>
      </c>
      <c r="C33" s="41">
        <v>6.01</v>
      </c>
      <c r="D33" s="43">
        <v>0</v>
      </c>
      <c r="E33" s="43"/>
      <c r="F33" s="33" t="s">
        <v>20</v>
      </c>
      <c r="G33" s="1">
        <v>0</v>
      </c>
      <c r="H33" s="33" t="s">
        <v>20</v>
      </c>
      <c r="I33" s="128" t="s">
        <v>188</v>
      </c>
      <c r="J33" s="1">
        <v>0</v>
      </c>
      <c r="K33" s="1">
        <v>0</v>
      </c>
      <c r="L33" s="1">
        <v>1485.08</v>
      </c>
      <c r="M33" s="25">
        <f t="shared" ref="M33" si="9">L33*$M$30</f>
        <v>1856.35</v>
      </c>
      <c r="O33" s="26" t="s">
        <v>64</v>
      </c>
      <c r="P33" s="26" t="s">
        <v>65</v>
      </c>
      <c r="Q33" s="26" t="s">
        <v>66</v>
      </c>
      <c r="R33" s="26" t="s">
        <v>120</v>
      </c>
      <c r="S33" s="26" t="s">
        <v>123</v>
      </c>
      <c r="T33" s="350" t="s">
        <v>67</v>
      </c>
      <c r="U33" s="350"/>
      <c r="V33" s="350"/>
      <c r="W33" s="350"/>
      <c r="X33" s="350"/>
      <c r="Y33" s="350"/>
    </row>
    <row r="34" spans="1:25" x14ac:dyDescent="0.25">
      <c r="A34" s="146"/>
      <c r="B34" s="24">
        <v>2</v>
      </c>
      <c r="C34" s="27">
        <f>ROUND($C$33*(1-D34),2)</f>
        <v>5.53</v>
      </c>
      <c r="D34" s="43">
        <f>D33+E34</f>
        <v>7.9526226734348518E-2</v>
      </c>
      <c r="E34" s="43">
        <v>7.9526226734348518E-2</v>
      </c>
      <c r="F34" s="33" t="s">
        <v>54</v>
      </c>
      <c r="G34" s="25">
        <v>26.47</v>
      </c>
      <c r="H34" s="33" t="s">
        <v>32</v>
      </c>
      <c r="I34" s="128" t="s">
        <v>175</v>
      </c>
      <c r="J34" s="1">
        <v>18.149999999999999</v>
      </c>
      <c r="K34" s="1">
        <f t="shared" ref="K34:K42" si="10">K33+J34</f>
        <v>18.149999999999999</v>
      </c>
      <c r="L34" s="25">
        <f>$L$33+K34</f>
        <v>1503.23</v>
      </c>
      <c r="M34" s="25">
        <f>L34*$M$30</f>
        <v>1879.0374999999999</v>
      </c>
      <c r="N34" s="34"/>
      <c r="O34" s="28" t="s">
        <v>69</v>
      </c>
      <c r="P34" s="29">
        <v>0</v>
      </c>
      <c r="Q34" s="30">
        <v>0</v>
      </c>
      <c r="R34" s="31">
        <f>M33</f>
        <v>1856.35</v>
      </c>
      <c r="S34" s="32">
        <f>IF($R$32=$S$32,$S$32,IF(RIGHT(O34)&gt;=RIGHT($S$29),$S$32,$R$32))</f>
        <v>22.7</v>
      </c>
      <c r="T34" s="33"/>
      <c r="U34" s="33"/>
      <c r="V34" s="33"/>
      <c r="W34" s="33"/>
      <c r="X34" s="33"/>
      <c r="Y34" s="33"/>
    </row>
    <row r="35" spans="1:25" x14ac:dyDescent="0.25">
      <c r="A35" s="146"/>
      <c r="B35" s="24">
        <v>3</v>
      </c>
      <c r="C35" s="27">
        <f t="shared" ref="C35:C39" si="11">ROUND($C$33*(1-D35),2)</f>
        <v>5.21</v>
      </c>
      <c r="D35" s="43">
        <f t="shared" ref="D35:D42" si="12">D34+E35</f>
        <v>0.13367174280879865</v>
      </c>
      <c r="E35" s="43">
        <v>5.4145516074450131E-2</v>
      </c>
      <c r="F35" s="33" t="s">
        <v>72</v>
      </c>
      <c r="G35" s="25">
        <v>417.45</v>
      </c>
      <c r="H35" s="33" t="s">
        <v>30</v>
      </c>
      <c r="I35" s="128" t="s">
        <v>175</v>
      </c>
      <c r="J35" s="133">
        <f>G35*1.05^((LOG(6.2/5.78)/LOG(1.02)))-G35</f>
        <v>78.755981935801231</v>
      </c>
      <c r="K35" s="1">
        <f t="shared" si="10"/>
        <v>96.905981935801236</v>
      </c>
      <c r="L35" s="25">
        <f t="shared" ref="L35:L42" si="13">$L$33+K35</f>
        <v>1581.9859819358012</v>
      </c>
      <c r="M35" s="25">
        <f t="shared" ref="M35:M42" si="14">L35*$M$30</f>
        <v>1977.4824774197514</v>
      </c>
      <c r="N35" s="34"/>
      <c r="O35" s="28" t="s">
        <v>15</v>
      </c>
      <c r="P35" s="29">
        <v>0.1</v>
      </c>
      <c r="Q35" s="30">
        <f>$K$34+($K$35-$K$34)*(P35-$D$34)/($D$35-$D$34)</f>
        <v>47.929605669474888</v>
      </c>
      <c r="R35" s="31">
        <f>Q35*$M$30</f>
        <v>59.912007086843609</v>
      </c>
      <c r="S35" s="32">
        <v>22.7</v>
      </c>
      <c r="T35" s="2"/>
      <c r="U35" s="2"/>
      <c r="V35" s="33"/>
      <c r="W35" s="33"/>
      <c r="X35" s="33"/>
      <c r="Y35" s="33"/>
    </row>
    <row r="36" spans="1:25" x14ac:dyDescent="0.25">
      <c r="A36" s="146"/>
      <c r="B36" s="24">
        <v>4</v>
      </c>
      <c r="C36" s="27">
        <f t="shared" si="11"/>
        <v>5.05</v>
      </c>
      <c r="D36" s="147">
        <f t="shared" si="12"/>
        <v>0.15993303313137927</v>
      </c>
      <c r="E36" s="43">
        <f>(0.3802*(6.7/6.2)-0.3846)</f>
        <v>2.6261290322580622E-2</v>
      </c>
      <c r="F36" s="135" t="s">
        <v>73</v>
      </c>
      <c r="G36" s="148">
        <f>G35+J35</f>
        <v>496.20598193580122</v>
      </c>
      <c r="H36" s="33" t="s">
        <v>30</v>
      </c>
      <c r="I36" s="128" t="s">
        <v>175</v>
      </c>
      <c r="J36" s="133">
        <f>G36*1.05^((LOG(6.7/6.2)/LOG(1.02)))-G36</f>
        <v>104.4851452613924</v>
      </c>
      <c r="K36" s="1">
        <f t="shared" si="10"/>
        <v>201.39112719719364</v>
      </c>
      <c r="L36" s="25">
        <f t="shared" si="13"/>
        <v>1686.4711271971935</v>
      </c>
      <c r="M36" s="25">
        <f t="shared" si="14"/>
        <v>2108.0889089964917</v>
      </c>
      <c r="N36" s="34"/>
      <c r="O36" s="28" t="s">
        <v>2</v>
      </c>
      <c r="P36" s="29">
        <v>0.15</v>
      </c>
      <c r="Q36" s="30">
        <f>K35+(K36-K35)*(P36-D35)/(D36-D35)</f>
        <v>161.87081433861357</v>
      </c>
      <c r="R36" s="31">
        <f>Q36*$M$30</f>
        <v>202.33851792326698</v>
      </c>
      <c r="S36" s="32">
        <v>22.7</v>
      </c>
      <c r="T36" s="2"/>
      <c r="U36" s="2"/>
      <c r="V36" s="33"/>
      <c r="W36" s="33"/>
      <c r="X36" s="33"/>
      <c r="Y36" s="33"/>
    </row>
    <row r="37" spans="1:25" x14ac:dyDescent="0.25">
      <c r="A37" s="146"/>
      <c r="B37" s="24">
        <v>5</v>
      </c>
      <c r="C37" s="27">
        <f t="shared" si="11"/>
        <v>4.93</v>
      </c>
      <c r="D37" s="43">
        <f t="shared" si="12"/>
        <v>0.18023760165929806</v>
      </c>
      <c r="E37" s="43">
        <v>2.0304568527918787E-2</v>
      </c>
      <c r="F37" s="33" t="s">
        <v>74</v>
      </c>
      <c r="G37" s="25">
        <v>0</v>
      </c>
      <c r="H37" s="33" t="s">
        <v>75</v>
      </c>
      <c r="I37" s="41" t="s">
        <v>176</v>
      </c>
      <c r="J37" s="1">
        <v>30</v>
      </c>
      <c r="K37" s="1">
        <f t="shared" si="10"/>
        <v>231.39112719719364</v>
      </c>
      <c r="L37" s="25">
        <f t="shared" si="13"/>
        <v>1716.4711271971935</v>
      </c>
      <c r="M37" s="25">
        <f t="shared" si="14"/>
        <v>2145.5889089964917</v>
      </c>
      <c r="N37" s="34"/>
      <c r="O37" s="28" t="s">
        <v>3</v>
      </c>
      <c r="P37" s="29">
        <v>0.2</v>
      </c>
      <c r="Q37" s="30">
        <f>U37-Y37</f>
        <v>310.01929192093041</v>
      </c>
      <c r="R37" s="31">
        <f>Q37*$M$30</f>
        <v>387.52411490116299</v>
      </c>
      <c r="S37" s="32">
        <v>20</v>
      </c>
      <c r="T37" s="43">
        <f>D37</f>
        <v>0.18023760165929806</v>
      </c>
      <c r="U37" s="44">
        <f>K37</f>
        <v>231.39112719719364</v>
      </c>
      <c r="V37" s="33"/>
      <c r="W37" s="45">
        <f>T37-P37</f>
        <v>-1.9762398340701953E-2</v>
      </c>
      <c r="X37" s="45">
        <f>D36-W37</f>
        <v>0.17969543147208122</v>
      </c>
      <c r="Y37" s="46">
        <f>(K36-K35)-(K36-K35)*(X37-D35)/(D36-D35)</f>
        <v>-78.628164723736774</v>
      </c>
    </row>
    <row r="38" spans="1:25" x14ac:dyDescent="0.25">
      <c r="A38" s="146"/>
      <c r="B38" s="24">
        <v>6</v>
      </c>
      <c r="C38" s="27">
        <f t="shared" si="11"/>
        <v>4.75</v>
      </c>
      <c r="D38" s="43">
        <f t="shared" si="12"/>
        <v>0.20900240707384965</v>
      </c>
      <c r="E38" s="43">
        <v>2.8764805414551592E-2</v>
      </c>
      <c r="F38" s="33" t="s">
        <v>57</v>
      </c>
      <c r="G38" s="25">
        <v>17.57</v>
      </c>
      <c r="H38" s="33" t="s">
        <v>33</v>
      </c>
      <c r="I38" s="128" t="s">
        <v>176</v>
      </c>
      <c r="J38" s="1">
        <v>19.89</v>
      </c>
      <c r="K38" s="1">
        <f t="shared" si="10"/>
        <v>251.28112719719365</v>
      </c>
      <c r="L38" s="25">
        <f t="shared" si="13"/>
        <v>1736.3611271971936</v>
      </c>
      <c r="M38" s="25">
        <f t="shared" si="14"/>
        <v>2170.4514089964919</v>
      </c>
      <c r="N38" s="34"/>
      <c r="O38" s="28" t="s">
        <v>4</v>
      </c>
      <c r="P38" s="29">
        <v>0.25</v>
      </c>
      <c r="Q38" s="30">
        <f>K39+(K42-K39)*(P38-D39)/(D42-D39)</f>
        <v>465.30563808218687</v>
      </c>
      <c r="R38" s="31">
        <f>Q38*$M$30</f>
        <v>581.63204760273356</v>
      </c>
      <c r="S38" s="32">
        <v>20</v>
      </c>
      <c r="T38" s="35"/>
      <c r="U38" s="30"/>
      <c r="V38" s="24"/>
      <c r="W38" s="35"/>
      <c r="X38" s="35"/>
      <c r="Y38" s="30"/>
    </row>
    <row r="39" spans="1:25" x14ac:dyDescent="0.25">
      <c r="A39" s="146"/>
      <c r="B39" s="24">
        <v>7</v>
      </c>
      <c r="C39" s="27">
        <f t="shared" si="11"/>
        <v>4.72</v>
      </c>
      <c r="D39" s="43">
        <f t="shared" si="12"/>
        <v>0.21407854920582925</v>
      </c>
      <c r="E39" s="43">
        <v>5.0761421319795996E-3</v>
      </c>
      <c r="F39" s="33" t="s">
        <v>55</v>
      </c>
      <c r="G39" s="25">
        <v>44.62</v>
      </c>
      <c r="H39" s="33" t="s">
        <v>32</v>
      </c>
      <c r="I39" s="128" t="s">
        <v>176</v>
      </c>
      <c r="J39" s="1">
        <v>6.63</v>
      </c>
      <c r="K39" s="1">
        <f t="shared" si="10"/>
        <v>257.91112719719365</v>
      </c>
      <c r="L39" s="25">
        <f t="shared" si="13"/>
        <v>1742.9911271971937</v>
      </c>
      <c r="M39" s="25">
        <f t="shared" si="14"/>
        <v>2178.7389089964922</v>
      </c>
      <c r="N39" s="34"/>
      <c r="O39" s="28" t="s">
        <v>5</v>
      </c>
      <c r="P39" s="37">
        <f>D41</f>
        <v>0.25299563888434035</v>
      </c>
      <c r="Q39" s="38">
        <f>K41</f>
        <v>482.60112719719365</v>
      </c>
      <c r="R39" s="31">
        <f>Q39*$M$30</f>
        <v>603.25140899649205</v>
      </c>
      <c r="S39" s="32">
        <v>20</v>
      </c>
      <c r="T39" s="35"/>
      <c r="U39" s="31"/>
      <c r="V39" s="24"/>
      <c r="W39" s="35"/>
      <c r="X39" s="35"/>
      <c r="Y39" s="31"/>
    </row>
    <row r="40" spans="1:25" x14ac:dyDescent="0.25">
      <c r="A40" s="146"/>
      <c r="B40" s="24">
        <v>8</v>
      </c>
      <c r="C40" s="27">
        <f>ROUND($C$33*(1-D40),2)</f>
        <v>4.66</v>
      </c>
      <c r="D40" s="43">
        <f t="shared" si="12"/>
        <v>0.22423083346978873</v>
      </c>
      <c r="E40" s="43">
        <v>1.0152284263959477E-2</v>
      </c>
      <c r="F40" s="33" t="s">
        <v>77</v>
      </c>
      <c r="G40" s="25">
        <v>143.63999999999999</v>
      </c>
      <c r="H40" s="33" t="s">
        <v>31</v>
      </c>
      <c r="I40" s="128" t="s">
        <v>175</v>
      </c>
      <c r="J40" s="1">
        <v>14.69</v>
      </c>
      <c r="K40" s="1">
        <f t="shared" si="10"/>
        <v>272.60112719719365</v>
      </c>
      <c r="L40" s="25">
        <f t="shared" si="13"/>
        <v>1757.6811271971935</v>
      </c>
      <c r="M40" s="25">
        <f t="shared" si="14"/>
        <v>2197.101408996492</v>
      </c>
      <c r="N40" s="34"/>
      <c r="Y40" s="30"/>
    </row>
    <row r="41" spans="1:25" ht="19.5" thickBot="1" x14ac:dyDescent="0.35">
      <c r="A41" s="146"/>
      <c r="B41" s="24">
        <v>9</v>
      </c>
      <c r="C41" s="27">
        <f>ROUND($C$33*(1-D41),2)</f>
        <v>4.49</v>
      </c>
      <c r="D41" s="43">
        <f t="shared" si="12"/>
        <v>0.25299563888434035</v>
      </c>
      <c r="E41" s="43">
        <v>2.876480541455162E-2</v>
      </c>
      <c r="F41" s="33" t="s">
        <v>58</v>
      </c>
      <c r="G41" s="25">
        <v>0</v>
      </c>
      <c r="H41" s="33" t="s">
        <v>58</v>
      </c>
      <c r="I41" s="41" t="s">
        <v>176</v>
      </c>
      <c r="J41" s="1">
        <v>210</v>
      </c>
      <c r="K41" s="1">
        <f t="shared" si="10"/>
        <v>482.60112719719365</v>
      </c>
      <c r="L41" s="25">
        <f t="shared" si="13"/>
        <v>1967.6811271971935</v>
      </c>
      <c r="M41" s="25">
        <f t="shared" si="14"/>
        <v>2459.601408996492</v>
      </c>
      <c r="N41" s="34"/>
      <c r="O41" s="99" t="s">
        <v>184</v>
      </c>
    </row>
    <row r="42" spans="1:25" ht="15.75" thickBot="1" x14ac:dyDescent="0.3">
      <c r="A42" s="146"/>
      <c r="B42" s="164">
        <v>10</v>
      </c>
      <c r="C42" s="27">
        <f>ROUND($C$33*(1-D42),2)</f>
        <v>4.49</v>
      </c>
      <c r="D42" s="43">
        <f t="shared" si="12"/>
        <v>0.25299563888434035</v>
      </c>
      <c r="E42" s="161">
        <v>0</v>
      </c>
      <c r="F42" s="185" t="s">
        <v>76</v>
      </c>
      <c r="G42" s="25">
        <v>128.96</v>
      </c>
      <c r="H42" s="33" t="s">
        <v>31</v>
      </c>
      <c r="I42" s="128" t="s">
        <v>175</v>
      </c>
      <c r="J42" s="133">
        <v>0</v>
      </c>
      <c r="K42" s="1">
        <f t="shared" si="10"/>
        <v>482.60112719719365</v>
      </c>
      <c r="L42" s="25">
        <f t="shared" si="13"/>
        <v>1967.6811271971935</v>
      </c>
      <c r="M42" s="25">
        <f t="shared" si="14"/>
        <v>2459.601408996492</v>
      </c>
      <c r="N42" s="34"/>
      <c r="O42" s="360" t="s">
        <v>69</v>
      </c>
      <c r="P42" s="360" t="s">
        <v>15</v>
      </c>
      <c r="Q42" s="360" t="s">
        <v>2</v>
      </c>
      <c r="R42" s="360" t="s">
        <v>3</v>
      </c>
      <c r="S42" s="360" t="s">
        <v>4</v>
      </c>
      <c r="T42" s="360" t="s">
        <v>5</v>
      </c>
      <c r="U42" s="360" t="s">
        <v>70</v>
      </c>
      <c r="V42" s="360" t="s">
        <v>150</v>
      </c>
      <c r="W42" s="360"/>
    </row>
    <row r="43" spans="1:25" ht="15.75" thickBot="1" x14ac:dyDescent="0.3">
      <c r="A43" s="42"/>
      <c r="N43" s="34"/>
      <c r="O43" s="360"/>
      <c r="P43" s="360"/>
      <c r="Q43" s="360"/>
      <c r="R43" s="360"/>
      <c r="S43" s="360"/>
      <c r="T43" s="360"/>
      <c r="U43" s="360"/>
      <c r="V43" s="4" t="s">
        <v>151</v>
      </c>
      <c r="W43" s="4" t="s">
        <v>152</v>
      </c>
    </row>
    <row r="44" spans="1:25" ht="15.75" thickBot="1" x14ac:dyDescent="0.3">
      <c r="C44" s="48"/>
      <c r="O44" s="111">
        <f>Q34</f>
        <v>0</v>
      </c>
      <c r="P44" s="111">
        <f>Q35</f>
        <v>47.929605669474888</v>
      </c>
      <c r="Q44" s="111">
        <f>Q36</f>
        <v>161.87081433861357</v>
      </c>
      <c r="R44" s="111">
        <f>Q37</f>
        <v>310.01929192093041</v>
      </c>
      <c r="S44" s="112">
        <f>Q38</f>
        <v>465.30563808218687</v>
      </c>
      <c r="T44" s="111">
        <f>Q39</f>
        <v>482.60112719719365</v>
      </c>
      <c r="U44" s="111">
        <f>Q40</f>
        <v>0</v>
      </c>
      <c r="V44" s="113">
        <f>MAX(P34:P40)</f>
        <v>0.25299563888434035</v>
      </c>
      <c r="W44" s="111">
        <f>MAX(O44:U44)</f>
        <v>482.60112719719365</v>
      </c>
    </row>
    <row r="46" spans="1:25" s="87" customFormat="1" x14ac:dyDescent="0.25"/>
    <row r="47" spans="1:25" s="87" customFormat="1" x14ac:dyDescent="0.25"/>
    <row r="48" spans="1:25" ht="18.75" x14ac:dyDescent="0.3">
      <c r="B48" s="99" t="s">
        <v>186</v>
      </c>
    </row>
    <row r="49" spans="1:25" ht="15.75" thickBot="1" x14ac:dyDescent="0.3">
      <c r="S49" s="52" t="s">
        <v>187</v>
      </c>
    </row>
    <row r="50" spans="1:25" ht="19.5" thickBot="1" x14ac:dyDescent="0.3">
      <c r="B50" s="355" t="s">
        <v>46</v>
      </c>
      <c r="C50" s="356"/>
      <c r="F50" s="6" t="s">
        <v>62</v>
      </c>
      <c r="G50" s="7">
        <f>6.89-0.0011*Q53</f>
        <v>5.2399999999999993</v>
      </c>
      <c r="H50" s="5" t="s">
        <v>189</v>
      </c>
      <c r="J50" s="8" t="s">
        <v>71</v>
      </c>
      <c r="M50" s="5" t="s">
        <v>190</v>
      </c>
      <c r="S50" s="100" t="s">
        <v>188</v>
      </c>
    </row>
    <row r="51" spans="1:25" ht="36" customHeight="1" thickBot="1" x14ac:dyDescent="0.35">
      <c r="C51" s="357" t="s">
        <v>91</v>
      </c>
      <c r="D51" s="357"/>
      <c r="E51" s="357"/>
      <c r="F51" s="357"/>
      <c r="G51" s="357"/>
      <c r="H51" s="357"/>
      <c r="I51" s="357"/>
      <c r="J51" s="357"/>
      <c r="K51" s="357"/>
      <c r="L51" s="10"/>
      <c r="M51" s="10">
        <v>1.25</v>
      </c>
      <c r="O51" s="99" t="s">
        <v>185</v>
      </c>
      <c r="R51" s="5" t="s">
        <v>193</v>
      </c>
      <c r="S51" s="5" t="s">
        <v>194</v>
      </c>
    </row>
    <row r="52" spans="1:25" ht="45.75" thickBot="1" x14ac:dyDescent="0.3">
      <c r="B52" s="351" t="s">
        <v>61</v>
      </c>
      <c r="C52" s="351" t="s">
        <v>17</v>
      </c>
      <c r="D52" s="351" t="s">
        <v>18</v>
      </c>
      <c r="E52" s="351" t="s">
        <v>207</v>
      </c>
      <c r="F52" s="351" t="s">
        <v>19</v>
      </c>
      <c r="G52" s="361" t="s">
        <v>28</v>
      </c>
      <c r="H52" s="362"/>
      <c r="I52" s="363"/>
      <c r="J52" s="353" t="s">
        <v>26</v>
      </c>
      <c r="K52" s="354"/>
      <c r="L52" s="358" t="s">
        <v>60</v>
      </c>
      <c r="M52" s="358" t="s">
        <v>35</v>
      </c>
      <c r="O52" s="12" t="s">
        <v>11</v>
      </c>
      <c r="P52" s="13" t="s">
        <v>0</v>
      </c>
      <c r="Q52" s="14" t="s">
        <v>63</v>
      </c>
      <c r="R52" s="11" t="s">
        <v>121</v>
      </c>
      <c r="S52" s="11" t="s">
        <v>122</v>
      </c>
      <c r="T52" s="15" t="s">
        <v>1</v>
      </c>
    </row>
    <row r="53" spans="1:25" ht="25.5" x14ac:dyDescent="0.25">
      <c r="B53" s="352"/>
      <c r="C53" s="352"/>
      <c r="D53" s="352"/>
      <c r="E53" s="364"/>
      <c r="F53" s="352"/>
      <c r="G53" s="16" t="s">
        <v>27</v>
      </c>
      <c r="H53" s="16" t="s">
        <v>29</v>
      </c>
      <c r="I53" s="16" t="s">
        <v>192</v>
      </c>
      <c r="J53" s="16" t="s">
        <v>25</v>
      </c>
      <c r="K53" s="17" t="s">
        <v>24</v>
      </c>
      <c r="L53" s="359"/>
      <c r="M53" s="359"/>
      <c r="O53" s="18" t="s">
        <v>50</v>
      </c>
      <c r="P53" s="19">
        <v>0.167239943517144</v>
      </c>
      <c r="Q53" s="20">
        <v>1500</v>
      </c>
      <c r="R53" s="21">
        <v>20</v>
      </c>
      <c r="S53" s="49">
        <f>R53</f>
        <v>20</v>
      </c>
      <c r="T53" s="22" t="s">
        <v>12</v>
      </c>
    </row>
    <row r="54" spans="1:25" ht="30" x14ac:dyDescent="0.25">
      <c r="B54" s="24">
        <v>1</v>
      </c>
      <c r="C54" s="24">
        <v>5.2399999999999993</v>
      </c>
      <c r="D54" s="35">
        <v>0</v>
      </c>
      <c r="E54" s="35"/>
      <c r="F54" s="122" t="s">
        <v>20</v>
      </c>
      <c r="G54" s="123">
        <v>0</v>
      </c>
      <c r="H54" s="122" t="s">
        <v>20</v>
      </c>
      <c r="I54" s="128" t="s">
        <v>188</v>
      </c>
      <c r="J54" s="123">
        <v>0</v>
      </c>
      <c r="K54" s="123">
        <v>0</v>
      </c>
      <c r="L54" s="126">
        <v>1642.12</v>
      </c>
      <c r="M54" s="124">
        <f>L54*$M$51</f>
        <v>2052.6499999999996</v>
      </c>
      <c r="O54" s="26" t="s">
        <v>64</v>
      </c>
      <c r="P54" s="26" t="s">
        <v>65</v>
      </c>
      <c r="Q54" s="26" t="s">
        <v>66</v>
      </c>
      <c r="R54" s="26" t="s">
        <v>120</v>
      </c>
      <c r="S54" s="26" t="s">
        <v>123</v>
      </c>
      <c r="T54" s="350" t="s">
        <v>67</v>
      </c>
      <c r="U54" s="350"/>
      <c r="V54" s="350"/>
      <c r="W54" s="350"/>
      <c r="X54" s="350"/>
      <c r="Y54" s="350"/>
    </row>
    <row r="55" spans="1:25" ht="15.75" customHeight="1" x14ac:dyDescent="0.25">
      <c r="A55" s="139"/>
      <c r="B55" s="24">
        <v>2</v>
      </c>
      <c r="C55" s="27">
        <f>ROUND($C$54*(1-D55),2)</f>
        <v>4.95</v>
      </c>
      <c r="D55" s="134">
        <f>(0.6506*(6.1/5.85) - 0.6429)+(0.3802*(6.5/6.1)-0.3846)</f>
        <v>5.6034566344402403E-2</v>
      </c>
      <c r="E55" s="50">
        <v>5.6000000000000001E-2</v>
      </c>
      <c r="F55" s="135" t="s">
        <v>203</v>
      </c>
      <c r="G55" s="25">
        <v>476.59</v>
      </c>
      <c r="H55" s="33" t="s">
        <v>30</v>
      </c>
      <c r="I55" s="128" t="s">
        <v>175</v>
      </c>
      <c r="J55" s="133">
        <f>G55*1.05^((LOG(6.5/5.85)/LOG(1.02)))-G55</f>
        <v>141.26031582892307</v>
      </c>
      <c r="K55" s="1">
        <f t="shared" ref="K55:K61" si="15">K54+J55</f>
        <v>141.26031582892307</v>
      </c>
      <c r="L55" s="25">
        <f>$L$54+K55</f>
        <v>1783.3803158289229</v>
      </c>
      <c r="M55" s="25">
        <f t="shared" ref="M55:M61" si="16">L55*$M$51</f>
        <v>2229.2253947861536</v>
      </c>
      <c r="O55" s="28" t="s">
        <v>69</v>
      </c>
      <c r="P55" s="29">
        <v>0</v>
      </c>
      <c r="Q55" s="30">
        <v>0</v>
      </c>
      <c r="R55" s="31">
        <f>M54</f>
        <v>2052.6499999999996</v>
      </c>
      <c r="S55" s="32">
        <f>IF($R$53=$S$53,$S$53,IF(RIGHT(O55)&gt;=RIGHT($S$50),$S$53,$R$53))</f>
        <v>20</v>
      </c>
      <c r="T55" s="33"/>
      <c r="U55" s="33"/>
      <c r="V55" s="33"/>
      <c r="W55" s="33"/>
      <c r="X55" s="33"/>
      <c r="Y55" s="33"/>
    </row>
    <row r="56" spans="1:25" x14ac:dyDescent="0.25">
      <c r="A56" s="139"/>
      <c r="B56" s="24">
        <v>3</v>
      </c>
      <c r="C56" s="27">
        <f t="shared" ref="C56:C61" si="17">ROUND($C$54*(1-D56),2)</f>
        <v>4.8499999999999996</v>
      </c>
      <c r="D56" s="141">
        <f>D55+1.9%</f>
        <v>7.5034566344402406E-2</v>
      </c>
      <c r="E56" s="50">
        <v>1.9E-2</v>
      </c>
      <c r="F56" s="135" t="s">
        <v>204</v>
      </c>
      <c r="G56" s="148">
        <f>G55+J55</f>
        <v>617.85031582892304</v>
      </c>
      <c r="H56" s="33" t="s">
        <v>30</v>
      </c>
      <c r="I56" s="128" t="s">
        <v>175</v>
      </c>
      <c r="J56" s="133">
        <f>G56*1.05^((LOG(6.9/6.5)/LOG(1.02)))-G56</f>
        <v>97.937539333437826</v>
      </c>
      <c r="K56" s="1">
        <f t="shared" si="15"/>
        <v>239.1978551623609</v>
      </c>
      <c r="L56" s="25">
        <f t="shared" ref="L56:L61" si="18">$L$54+K56</f>
        <v>1881.3178551623607</v>
      </c>
      <c r="M56" s="25">
        <f t="shared" si="16"/>
        <v>2351.6473189529511</v>
      </c>
      <c r="O56" s="28" t="s">
        <v>15</v>
      </c>
      <c r="P56" s="29">
        <v>0.1</v>
      </c>
      <c r="Q56" s="30">
        <f>K56+(K57-K56)*(P56-D56)/(D57-D56)</f>
        <v>260.25523824187076</v>
      </c>
      <c r="R56" s="31">
        <f>Q56*$M$51</f>
        <v>325.31904780233845</v>
      </c>
      <c r="S56" s="32">
        <f>IF($R$53=$S$53,$S$53,IF(RIGHT(O56)&gt;=RIGHT($S$50),$S$53,$R$53))</f>
        <v>20</v>
      </c>
      <c r="T56" s="2"/>
      <c r="U56" s="2"/>
      <c r="V56" s="33"/>
      <c r="W56" s="33"/>
      <c r="X56" s="33"/>
      <c r="Y56" s="33"/>
    </row>
    <row r="57" spans="1:25" x14ac:dyDescent="0.25">
      <c r="A57" s="139"/>
      <c r="B57" s="24">
        <v>4</v>
      </c>
      <c r="C57" s="27">
        <f t="shared" si="17"/>
        <v>4.71</v>
      </c>
      <c r="D57" s="140">
        <f>D56+E57</f>
        <v>0.10052476242283376</v>
      </c>
      <c r="E57" s="50">
        <v>2.5490196078431351E-2</v>
      </c>
      <c r="F57" s="33" t="s">
        <v>54</v>
      </c>
      <c r="G57" s="25">
        <v>31.13</v>
      </c>
      <c r="H57" s="33" t="s">
        <v>32</v>
      </c>
      <c r="I57" s="128" t="s">
        <v>175</v>
      </c>
      <c r="J57" s="25">
        <v>21.5</v>
      </c>
      <c r="K57" s="1">
        <f t="shared" si="15"/>
        <v>260.6978551623609</v>
      </c>
      <c r="L57" s="25">
        <f t="shared" si="18"/>
        <v>1902.8178551623607</v>
      </c>
      <c r="M57" s="25">
        <f t="shared" si="16"/>
        <v>2378.5223189529511</v>
      </c>
      <c r="O57" s="28" t="s">
        <v>2</v>
      </c>
      <c r="P57" s="29">
        <v>0.15</v>
      </c>
      <c r="Q57" s="30">
        <f>K57+(K58-K57)*(P57-D57)/(D58-D57)</f>
        <v>368.50316096206654</v>
      </c>
      <c r="R57" s="31">
        <f>Q57*$M$51</f>
        <v>460.62895120258315</v>
      </c>
      <c r="S57" s="32">
        <f>IF($R$53=$S$53,$S$53,IF(RIGHT(O57)&gt;=RIGHT($S$50),$S$53,$R$53))</f>
        <v>20</v>
      </c>
      <c r="T57" s="2"/>
      <c r="U57" s="2"/>
      <c r="V57" s="33"/>
      <c r="W57" s="33"/>
      <c r="X57" s="33"/>
      <c r="Y57" s="33"/>
    </row>
    <row r="58" spans="1:25" x14ac:dyDescent="0.25">
      <c r="A58" s="139"/>
      <c r="B58" s="24">
        <v>5</v>
      </c>
      <c r="C58" s="27">
        <f t="shared" si="17"/>
        <v>4.55</v>
      </c>
      <c r="D58" s="140">
        <f>D57+E58</f>
        <v>0.13189731144244166</v>
      </c>
      <c r="E58" s="50">
        <v>3.1372549019607884E-2</v>
      </c>
      <c r="F58" s="33" t="s">
        <v>81</v>
      </c>
      <c r="G58" s="25">
        <v>130.76</v>
      </c>
      <c r="H58" s="33" t="s">
        <v>31</v>
      </c>
      <c r="I58" s="128" t="s">
        <v>175</v>
      </c>
      <c r="J58" s="25">
        <v>68.36</v>
      </c>
      <c r="K58" s="1">
        <f t="shared" si="15"/>
        <v>329.05785516236091</v>
      </c>
      <c r="L58" s="25">
        <f t="shared" si="18"/>
        <v>1971.1778551623609</v>
      </c>
      <c r="M58" s="25">
        <f t="shared" si="16"/>
        <v>2463.9723189529509</v>
      </c>
      <c r="O58" s="28" t="s">
        <v>3</v>
      </c>
      <c r="P58" s="149">
        <f>D61</f>
        <v>0.1809169192855789</v>
      </c>
      <c r="Q58" s="51">
        <f>K61</f>
        <v>637.95785516236094</v>
      </c>
      <c r="R58" s="31">
        <f>Q58*$M$51</f>
        <v>797.44731895295115</v>
      </c>
      <c r="S58" s="32">
        <f>IF($R$53=$S$53,$S$53,IF(RIGHT(O58)&gt;=RIGHT($S$50),$S$53,$R$53))</f>
        <v>20</v>
      </c>
      <c r="T58" s="2"/>
      <c r="U58" s="2">
        <f>Q58-K60</f>
        <v>270</v>
      </c>
      <c r="V58" s="33"/>
      <c r="W58" s="33"/>
      <c r="X58" s="33"/>
      <c r="Y58" s="33"/>
    </row>
    <row r="59" spans="1:25" x14ac:dyDescent="0.25">
      <c r="A59" s="139"/>
      <c r="B59" s="24">
        <v>6</v>
      </c>
      <c r="C59" s="27">
        <f t="shared" si="17"/>
        <v>4.51</v>
      </c>
      <c r="D59" s="140">
        <f t="shared" ref="D59:D61" si="19">D58+E59</f>
        <v>0.13974044869734362</v>
      </c>
      <c r="E59" s="50">
        <v>7.8431372549019607E-3</v>
      </c>
      <c r="F59" s="33" t="s">
        <v>55</v>
      </c>
      <c r="G59" s="25">
        <v>52.62</v>
      </c>
      <c r="H59" s="33" t="s">
        <v>32</v>
      </c>
      <c r="I59" s="128" t="s">
        <v>175</v>
      </c>
      <c r="J59" s="25">
        <v>18.28</v>
      </c>
      <c r="K59" s="1">
        <f t="shared" si="15"/>
        <v>347.33785516236094</v>
      </c>
      <c r="L59" s="25">
        <f t="shared" si="18"/>
        <v>1989.4578551623608</v>
      </c>
      <c r="M59" s="25">
        <f t="shared" si="16"/>
        <v>2486.8223189529508</v>
      </c>
    </row>
    <row r="60" spans="1:25" x14ac:dyDescent="0.25">
      <c r="A60" s="139"/>
      <c r="B60" s="24">
        <v>7</v>
      </c>
      <c r="C60" s="27">
        <f t="shared" si="17"/>
        <v>4.47</v>
      </c>
      <c r="D60" s="140">
        <f t="shared" si="19"/>
        <v>0.14758358595224558</v>
      </c>
      <c r="E60" s="50">
        <v>7.8431372549019607E-3</v>
      </c>
      <c r="F60" s="33" t="s">
        <v>57</v>
      </c>
      <c r="G60" s="25">
        <v>15.67</v>
      </c>
      <c r="H60" s="33" t="s">
        <v>33</v>
      </c>
      <c r="I60" s="128" t="s">
        <v>175</v>
      </c>
      <c r="J60" s="25">
        <v>20.62</v>
      </c>
      <c r="K60" s="1">
        <f t="shared" si="15"/>
        <v>367.95785516236094</v>
      </c>
      <c r="L60" s="25">
        <f t="shared" si="18"/>
        <v>2010.0778551623607</v>
      </c>
      <c r="M60" s="25">
        <f t="shared" si="16"/>
        <v>2512.5973189529509</v>
      </c>
    </row>
    <row r="61" spans="1:25" ht="19.5" thickBot="1" x14ac:dyDescent="0.35">
      <c r="A61" s="139"/>
      <c r="B61" s="24">
        <v>8</v>
      </c>
      <c r="C61" s="27">
        <f t="shared" si="17"/>
        <v>4.29</v>
      </c>
      <c r="D61" s="140">
        <f t="shared" si="19"/>
        <v>0.1809169192855789</v>
      </c>
      <c r="E61" s="50">
        <v>3.3333333333333326E-2</v>
      </c>
      <c r="F61" s="33" t="s">
        <v>58</v>
      </c>
      <c r="G61" s="1">
        <v>0</v>
      </c>
      <c r="H61" s="33" t="s">
        <v>58</v>
      </c>
      <c r="I61" s="41" t="s">
        <v>176</v>
      </c>
      <c r="J61" s="25">
        <v>270</v>
      </c>
      <c r="K61" s="1">
        <f t="shared" si="15"/>
        <v>637.95785516236094</v>
      </c>
      <c r="L61" s="25">
        <f t="shared" si="18"/>
        <v>2280.0778551623607</v>
      </c>
      <c r="M61" s="25">
        <f t="shared" si="16"/>
        <v>2850.0973189529509</v>
      </c>
      <c r="O61" s="99" t="s">
        <v>184</v>
      </c>
    </row>
    <row r="62" spans="1:25" ht="15.75" thickBot="1" x14ac:dyDescent="0.3">
      <c r="O62" s="360" t="s">
        <v>69</v>
      </c>
      <c r="P62" s="360" t="s">
        <v>15</v>
      </c>
      <c r="Q62" s="360" t="s">
        <v>2</v>
      </c>
      <c r="R62" s="360" t="s">
        <v>3</v>
      </c>
      <c r="S62" s="360" t="s">
        <v>4</v>
      </c>
      <c r="T62" s="360" t="s">
        <v>5</v>
      </c>
      <c r="U62" s="360" t="s">
        <v>70</v>
      </c>
      <c r="V62" s="360" t="s">
        <v>150</v>
      </c>
      <c r="W62" s="360"/>
    </row>
    <row r="63" spans="1:25" ht="15.75" thickBot="1" x14ac:dyDescent="0.3">
      <c r="O63" s="360"/>
      <c r="P63" s="360"/>
      <c r="Q63" s="360"/>
      <c r="R63" s="360"/>
      <c r="S63" s="360"/>
      <c r="T63" s="360"/>
      <c r="U63" s="360"/>
      <c r="V63" s="4" t="s">
        <v>151</v>
      </c>
      <c r="W63" s="4" t="s">
        <v>152</v>
      </c>
    </row>
    <row r="64" spans="1:25" ht="15.75" thickBot="1" x14ac:dyDescent="0.3">
      <c r="B64" s="47"/>
      <c r="C64" s="48"/>
      <c r="O64" s="111">
        <f>Q55</f>
        <v>0</v>
      </c>
      <c r="P64" s="111">
        <f>Q56</f>
        <v>260.25523824187076</v>
      </c>
      <c r="Q64" s="111">
        <f>Q57</f>
        <v>368.50316096206654</v>
      </c>
      <c r="R64" s="111">
        <f>Q58</f>
        <v>637.95785516236094</v>
      </c>
      <c r="S64" s="112">
        <f>Q59</f>
        <v>0</v>
      </c>
      <c r="T64" s="111">
        <f>Q60</f>
        <v>0</v>
      </c>
      <c r="U64" s="111">
        <f>Q61</f>
        <v>0</v>
      </c>
      <c r="V64" s="113">
        <f>MAX(P55:P61)</f>
        <v>0.1809169192855789</v>
      </c>
      <c r="W64" s="111">
        <f>MAX(O64:U64)</f>
        <v>637.95785516236094</v>
      </c>
    </row>
    <row r="65" spans="1:25" x14ac:dyDescent="0.25">
      <c r="B65" s="47"/>
      <c r="C65" s="48"/>
      <c r="O65" s="52"/>
    </row>
    <row r="66" spans="1:25" x14ac:dyDescent="0.25">
      <c r="B66" s="47"/>
      <c r="C66" s="48"/>
      <c r="O66" s="52"/>
      <c r="P66" s="40"/>
      <c r="Q66" s="39"/>
    </row>
    <row r="67" spans="1:25" s="87" customFormat="1" x14ac:dyDescent="0.25">
      <c r="B67" s="101"/>
      <c r="C67" s="102"/>
      <c r="O67" s="103"/>
      <c r="P67" s="104"/>
      <c r="Q67" s="105"/>
    </row>
    <row r="68" spans="1:25" s="87" customFormat="1" x14ac:dyDescent="0.25">
      <c r="B68" s="101"/>
      <c r="C68" s="102"/>
      <c r="O68" s="103"/>
      <c r="P68" s="104"/>
      <c r="Q68" s="105"/>
    </row>
    <row r="69" spans="1:25" ht="18.75" x14ac:dyDescent="0.3">
      <c r="B69" s="99" t="s">
        <v>186</v>
      </c>
      <c r="C69" s="48"/>
      <c r="H69" s="5">
        <f>6.14/4.3</f>
        <v>1.4279069767441861</v>
      </c>
      <c r="O69" s="52"/>
      <c r="P69" s="40"/>
      <c r="Q69" s="39"/>
    </row>
    <row r="70" spans="1:25" ht="15.75" thickBot="1" x14ac:dyDescent="0.3">
      <c r="S70" s="52" t="s">
        <v>187</v>
      </c>
    </row>
    <row r="71" spans="1:25" ht="19.5" thickBot="1" x14ac:dyDescent="0.3">
      <c r="B71" s="355" t="s">
        <v>36</v>
      </c>
      <c r="C71" s="356"/>
      <c r="F71" s="6" t="s">
        <v>62</v>
      </c>
      <c r="G71" s="7">
        <f>7.79-0.0055*Q74</f>
        <v>6.1400000000000006</v>
      </c>
      <c r="H71" s="5" t="s">
        <v>189</v>
      </c>
      <c r="J71" s="8" t="s">
        <v>138</v>
      </c>
      <c r="M71" s="5" t="s">
        <v>190</v>
      </c>
      <c r="S71" s="11" t="s">
        <v>3</v>
      </c>
    </row>
    <row r="72" spans="1:25" ht="36" customHeight="1" thickBot="1" x14ac:dyDescent="0.35">
      <c r="C72" s="357" t="s">
        <v>82</v>
      </c>
      <c r="D72" s="357"/>
      <c r="E72" s="357"/>
      <c r="F72" s="357"/>
      <c r="G72" s="357"/>
      <c r="H72" s="357"/>
      <c r="I72" s="357"/>
      <c r="J72" s="357"/>
      <c r="K72" s="357"/>
      <c r="L72" s="10"/>
      <c r="M72" s="10">
        <v>1.25</v>
      </c>
      <c r="O72" s="99" t="s">
        <v>185</v>
      </c>
      <c r="R72" s="5" t="s">
        <v>193</v>
      </c>
      <c r="S72" s="5" t="s">
        <v>194</v>
      </c>
    </row>
    <row r="73" spans="1:25" ht="60.75" customHeight="1" thickBot="1" x14ac:dyDescent="0.3">
      <c r="B73" s="351" t="s">
        <v>61</v>
      </c>
      <c r="C73" s="351" t="s">
        <v>17</v>
      </c>
      <c r="D73" s="351" t="s">
        <v>18</v>
      </c>
      <c r="E73" s="351" t="s">
        <v>207</v>
      </c>
      <c r="F73" s="351" t="s">
        <v>19</v>
      </c>
      <c r="G73" s="361" t="s">
        <v>28</v>
      </c>
      <c r="H73" s="362"/>
      <c r="I73" s="363"/>
      <c r="J73" s="353" t="s">
        <v>26</v>
      </c>
      <c r="K73" s="354"/>
      <c r="L73" s="358" t="s">
        <v>60</v>
      </c>
      <c r="M73" s="358" t="s">
        <v>35</v>
      </c>
      <c r="O73" s="12" t="s">
        <v>6</v>
      </c>
      <c r="P73" s="13" t="s">
        <v>0</v>
      </c>
      <c r="Q73" s="14" t="s">
        <v>63</v>
      </c>
      <c r="R73" s="11" t="s">
        <v>121</v>
      </c>
      <c r="S73" s="11" t="s">
        <v>122</v>
      </c>
      <c r="T73" s="15" t="s">
        <v>1</v>
      </c>
    </row>
    <row r="74" spans="1:25" ht="25.5" x14ac:dyDescent="0.25">
      <c r="B74" s="352"/>
      <c r="C74" s="352"/>
      <c r="D74" s="352"/>
      <c r="E74" s="364"/>
      <c r="F74" s="352"/>
      <c r="G74" s="16" t="s">
        <v>27</v>
      </c>
      <c r="H74" s="16" t="s">
        <v>29</v>
      </c>
      <c r="I74" s="16" t="s">
        <v>192</v>
      </c>
      <c r="J74" s="16" t="s">
        <v>25</v>
      </c>
      <c r="K74" s="17" t="s">
        <v>24</v>
      </c>
      <c r="L74" s="359"/>
      <c r="M74" s="359"/>
      <c r="O74" s="18" t="s">
        <v>8</v>
      </c>
      <c r="P74" s="19">
        <v>0.22012812180856003</v>
      </c>
      <c r="Q74" s="20">
        <v>300</v>
      </c>
      <c r="R74" s="21">
        <v>24</v>
      </c>
      <c r="S74" s="49">
        <v>20</v>
      </c>
      <c r="T74" s="53">
        <v>152.55000000000001</v>
      </c>
    </row>
    <row r="75" spans="1:25" ht="30" x14ac:dyDescent="0.25">
      <c r="B75" s="24">
        <v>1</v>
      </c>
      <c r="C75" s="27">
        <f>G71</f>
        <v>6.1400000000000006</v>
      </c>
      <c r="D75" s="50">
        <v>0</v>
      </c>
      <c r="E75" s="50"/>
      <c r="F75" s="33" t="s">
        <v>20</v>
      </c>
      <c r="G75" s="1">
        <v>0</v>
      </c>
      <c r="H75" s="33" t="s">
        <v>20</v>
      </c>
      <c r="I75" s="128" t="s">
        <v>188</v>
      </c>
      <c r="J75" s="1">
        <v>0</v>
      </c>
      <c r="K75" s="1">
        <v>0</v>
      </c>
      <c r="L75" s="54">
        <v>892.62</v>
      </c>
      <c r="M75" s="2">
        <f t="shared" ref="M75:M76" si="20">L75*$M$72</f>
        <v>1115.7750000000001</v>
      </c>
      <c r="O75" s="26" t="s">
        <v>64</v>
      </c>
      <c r="P75" s="26" t="s">
        <v>65</v>
      </c>
      <c r="Q75" s="26" t="s">
        <v>66</v>
      </c>
      <c r="R75" s="26" t="s">
        <v>120</v>
      </c>
      <c r="S75" s="26" t="s">
        <v>123</v>
      </c>
      <c r="T75" s="350" t="s">
        <v>67</v>
      </c>
      <c r="U75" s="350"/>
      <c r="V75" s="350"/>
      <c r="W75" s="350"/>
      <c r="X75" s="350"/>
      <c r="Y75" s="350"/>
    </row>
    <row r="76" spans="1:25" x14ac:dyDescent="0.25">
      <c r="A76" s="139"/>
      <c r="B76" s="24">
        <v>2</v>
      </c>
      <c r="C76" s="27">
        <f t="shared" ref="C76" si="21">ROUND($C$75*(1-D76),2)</f>
        <v>5.52</v>
      </c>
      <c r="D76" s="50">
        <f>D75+E76</f>
        <v>0.10112359550561795</v>
      </c>
      <c r="E76" s="50">
        <v>0.10112359550561795</v>
      </c>
      <c r="F76" s="33" t="s">
        <v>137</v>
      </c>
      <c r="G76" s="25">
        <v>312.11</v>
      </c>
      <c r="H76" s="33" t="s">
        <v>30</v>
      </c>
      <c r="I76" s="128" t="s">
        <v>175</v>
      </c>
      <c r="J76" s="133">
        <f>G76*1.05^((LOG(5.2/4.59)/LOG(1.02)))-G76</f>
        <v>112.33738413985958</v>
      </c>
      <c r="K76" s="1">
        <f t="shared" ref="K76" si="22">K75+J76</f>
        <v>112.33738413985958</v>
      </c>
      <c r="L76" s="25">
        <f t="shared" ref="L76:L81" si="23">$L$75+K76</f>
        <v>1004.9573841398596</v>
      </c>
      <c r="M76" s="2">
        <f t="shared" si="20"/>
        <v>1256.1967301748246</v>
      </c>
      <c r="O76" s="28" t="s">
        <v>69</v>
      </c>
      <c r="P76" s="29">
        <v>0</v>
      </c>
      <c r="Q76" s="30"/>
      <c r="R76" s="31">
        <f>M75</f>
        <v>1115.7750000000001</v>
      </c>
      <c r="S76" s="32">
        <v>24</v>
      </c>
      <c r="T76" s="33"/>
      <c r="U76" s="33"/>
      <c r="V76" s="33"/>
      <c r="W76" s="33"/>
      <c r="X76" s="33"/>
      <c r="Y76" s="33"/>
    </row>
    <row r="77" spans="1:25" x14ac:dyDescent="0.25">
      <c r="A77" s="139"/>
      <c r="B77" s="24">
        <v>3</v>
      </c>
      <c r="C77" s="27">
        <f>ROUND($C$75*(1-D77),2)</f>
        <v>5.31</v>
      </c>
      <c r="D77" s="50">
        <f t="shared" ref="D77:D81" si="24">D76+E77</f>
        <v>0.13483146067415741</v>
      </c>
      <c r="E77" s="50">
        <v>3.3707865168539464E-2</v>
      </c>
      <c r="F77" s="33" t="s">
        <v>74</v>
      </c>
      <c r="G77" s="25">
        <v>0</v>
      </c>
      <c r="H77" s="33" t="s">
        <v>75</v>
      </c>
      <c r="I77" s="128" t="s">
        <v>176</v>
      </c>
      <c r="J77" s="1">
        <v>30</v>
      </c>
      <c r="K77" s="1">
        <f>K80+J77</f>
        <v>142.33738413985958</v>
      </c>
      <c r="L77" s="25">
        <f t="shared" si="23"/>
        <v>1034.9573841398596</v>
      </c>
      <c r="M77" s="2">
        <f>L77*$M$72</f>
        <v>1293.6967301748246</v>
      </c>
      <c r="O77" s="28" t="s">
        <v>15</v>
      </c>
      <c r="P77" s="29">
        <v>0.1</v>
      </c>
      <c r="Q77" s="30">
        <f>K75+(K76-K75)*(P77-D75)/(D76-D75)</f>
        <v>111.08919098275007</v>
      </c>
      <c r="R77" s="31">
        <f>Q77*$M$72</f>
        <v>138.86148872843759</v>
      </c>
      <c r="S77" s="32">
        <v>24</v>
      </c>
      <c r="T77" s="2"/>
      <c r="U77" s="2"/>
      <c r="V77" s="33"/>
      <c r="W77" s="33"/>
      <c r="X77" s="33"/>
      <c r="Y77" s="33"/>
    </row>
    <row r="78" spans="1:25" x14ac:dyDescent="0.25">
      <c r="A78" s="139"/>
      <c r="B78" s="24">
        <v>4</v>
      </c>
      <c r="C78" s="27">
        <f>ROUND($C$75*(1-D78),2)</f>
        <v>5.19</v>
      </c>
      <c r="D78" s="50">
        <f t="shared" si="24"/>
        <v>0.15409309791332274</v>
      </c>
      <c r="E78" s="50">
        <v>1.9261637239165325E-2</v>
      </c>
      <c r="F78" s="33" t="s">
        <v>57</v>
      </c>
      <c r="G78" s="25">
        <v>11.76</v>
      </c>
      <c r="H78" s="33" t="s">
        <v>33</v>
      </c>
      <c r="I78" s="128" t="s">
        <v>176</v>
      </c>
      <c r="J78" s="1">
        <v>34.74</v>
      </c>
      <c r="K78" s="1">
        <f>K81+J78</f>
        <v>177.07738413985959</v>
      </c>
      <c r="L78" s="25">
        <f t="shared" si="23"/>
        <v>1069.6973841398597</v>
      </c>
      <c r="M78" s="2">
        <f>L78*$M$72</f>
        <v>1337.1217301748245</v>
      </c>
      <c r="O78" s="28" t="s">
        <v>2</v>
      </c>
      <c r="P78" s="29">
        <v>0.15</v>
      </c>
      <c r="Q78" s="30">
        <f>K76+(K80-K76)*(P78-D76)/(D80-D76)</f>
        <v>112.33738413985958</v>
      </c>
      <c r="R78" s="31">
        <f>Q78*$M$72</f>
        <v>140.42173017482446</v>
      </c>
      <c r="S78" s="32">
        <v>24</v>
      </c>
      <c r="T78" s="2"/>
      <c r="U78" s="2"/>
      <c r="V78" s="33"/>
      <c r="W78" s="33"/>
      <c r="X78" s="33"/>
      <c r="Y78" s="33"/>
    </row>
    <row r="79" spans="1:25" x14ac:dyDescent="0.25">
      <c r="A79" s="139"/>
      <c r="B79" s="24">
        <v>5</v>
      </c>
      <c r="C79" s="27">
        <f>ROUND($C$75*(1-D79),2)</f>
        <v>5.0199999999999996</v>
      </c>
      <c r="D79" s="50">
        <f t="shared" si="24"/>
        <v>0.18298555377207068</v>
      </c>
      <c r="E79" s="50">
        <v>2.8892455858747945E-2</v>
      </c>
      <c r="F79" s="33" t="s">
        <v>58</v>
      </c>
      <c r="G79" s="1">
        <v>0</v>
      </c>
      <c r="H79" s="33" t="s">
        <v>58</v>
      </c>
      <c r="I79" s="128" t="s">
        <v>176</v>
      </c>
      <c r="J79" s="1">
        <v>210</v>
      </c>
      <c r="K79" s="1">
        <f>K78+J79</f>
        <v>387.07738413985959</v>
      </c>
      <c r="L79" s="25">
        <f t="shared" si="23"/>
        <v>1279.6973841398597</v>
      </c>
      <c r="M79" s="2">
        <f>L79*$M$72</f>
        <v>1599.6217301748245</v>
      </c>
      <c r="O79" s="28" t="s">
        <v>3</v>
      </c>
      <c r="P79" s="149">
        <v>0.15</v>
      </c>
      <c r="Q79" s="51">
        <f>U79-Y79</f>
        <v>142.33738413985958</v>
      </c>
      <c r="R79" s="31">
        <f>Q79*$M$72</f>
        <v>177.92173017482446</v>
      </c>
      <c r="S79" s="32">
        <v>20</v>
      </c>
      <c r="T79" s="43">
        <f>D77</f>
        <v>0.13483146067415741</v>
      </c>
      <c r="U79" s="25">
        <f>K77</f>
        <v>142.33738413985958</v>
      </c>
      <c r="V79" s="33"/>
      <c r="W79" s="45">
        <f>T79-P79</f>
        <v>-1.5168539325842584E-2</v>
      </c>
      <c r="X79" s="50">
        <f>D80-W79</f>
        <v>0.19815409309791326</v>
      </c>
      <c r="Y79" s="44">
        <f>(K80-K76)-(K80-K76)*(X79-D76)/(D80-D76)</f>
        <v>0</v>
      </c>
    </row>
    <row r="80" spans="1:25" x14ac:dyDescent="0.25">
      <c r="A80" s="139"/>
      <c r="B80" s="164">
        <v>6</v>
      </c>
      <c r="C80" s="27">
        <f>ROUND($C$75*(1-D80),2)</f>
        <v>5.0199999999999996</v>
      </c>
      <c r="D80" s="50">
        <f t="shared" si="24"/>
        <v>0.18298555377207068</v>
      </c>
      <c r="E80" s="161">
        <v>0</v>
      </c>
      <c r="F80" s="185" t="s">
        <v>83</v>
      </c>
      <c r="G80" s="25">
        <v>69.680000000000007</v>
      </c>
      <c r="H80" s="33" t="s">
        <v>31</v>
      </c>
      <c r="I80" s="128" t="s">
        <v>175</v>
      </c>
      <c r="J80" s="133">
        <v>0</v>
      </c>
      <c r="K80" s="1">
        <f>K76+J80</f>
        <v>112.33738413985958</v>
      </c>
      <c r="L80" s="25">
        <f t="shared" si="23"/>
        <v>1004.9573841398596</v>
      </c>
      <c r="M80" s="2">
        <f>L80*$M$72</f>
        <v>1256.1967301748246</v>
      </c>
      <c r="O80" s="28" t="s">
        <v>4</v>
      </c>
      <c r="P80" s="149">
        <v>0.15</v>
      </c>
      <c r="Q80" s="51">
        <f>ROUND(U80-Y80,2)</f>
        <v>177.08</v>
      </c>
      <c r="R80" s="31">
        <f>Q80*$M$72</f>
        <v>221.35000000000002</v>
      </c>
      <c r="S80" s="32">
        <v>20</v>
      </c>
      <c r="T80" s="35">
        <f>D78</f>
        <v>0.15409309791332274</v>
      </c>
      <c r="U80" s="31">
        <f>K78</f>
        <v>177.07738413985959</v>
      </c>
      <c r="V80" s="24"/>
      <c r="W80" s="35">
        <f>T80-P80</f>
        <v>4.0930979133227408E-3</v>
      </c>
      <c r="X80" s="35">
        <f>D81-W80</f>
        <v>0.17889245585874794</v>
      </c>
      <c r="Y80" s="30">
        <f>(K81-K77)-(K81-K77)*(X80-D77)/(D81-D77)</f>
        <v>0</v>
      </c>
    </row>
    <row r="81" spans="1:25" x14ac:dyDescent="0.25">
      <c r="A81" s="139"/>
      <c r="B81" s="164">
        <v>7</v>
      </c>
      <c r="C81" s="27">
        <f>ROUND($C$75*(1-D81),2)</f>
        <v>5.0199999999999996</v>
      </c>
      <c r="D81" s="50">
        <f t="shared" si="24"/>
        <v>0.18298555377207068</v>
      </c>
      <c r="E81" s="161">
        <v>0</v>
      </c>
      <c r="F81" s="185" t="s">
        <v>84</v>
      </c>
      <c r="G81" s="25">
        <v>89.01935109374071</v>
      </c>
      <c r="H81" s="33" t="s">
        <v>59</v>
      </c>
      <c r="I81" s="128" t="s">
        <v>175</v>
      </c>
      <c r="J81" s="133">
        <v>0</v>
      </c>
      <c r="K81" s="1">
        <f>K77+J81</f>
        <v>142.33738413985958</v>
      </c>
      <c r="L81" s="25">
        <f t="shared" si="23"/>
        <v>1034.9573841398596</v>
      </c>
      <c r="M81" s="2">
        <f>L81*$M$72</f>
        <v>1293.6967301748246</v>
      </c>
      <c r="O81" s="28" t="s">
        <v>5</v>
      </c>
      <c r="P81" s="37">
        <f>D79</f>
        <v>0.18298555377207068</v>
      </c>
      <c r="Q81" s="38">
        <f>K79</f>
        <v>387.07738413985959</v>
      </c>
      <c r="R81" s="31">
        <f>Q81*$M$72</f>
        <v>483.84673017482447</v>
      </c>
      <c r="S81" s="32">
        <v>20</v>
      </c>
      <c r="T81" s="35"/>
      <c r="U81" s="30"/>
      <c r="V81" s="24"/>
      <c r="W81" s="35"/>
      <c r="X81" s="35"/>
      <c r="Y81" s="30"/>
    </row>
    <row r="83" spans="1:25" ht="19.5" thickBot="1" x14ac:dyDescent="0.35">
      <c r="O83" s="99" t="s">
        <v>184</v>
      </c>
    </row>
    <row r="84" spans="1:25" ht="15.75" thickBot="1" x14ac:dyDescent="0.3">
      <c r="K84" s="36"/>
      <c r="O84" s="360" t="s">
        <v>69</v>
      </c>
      <c r="P84" s="360" t="s">
        <v>15</v>
      </c>
      <c r="Q84" s="360" t="s">
        <v>2</v>
      </c>
      <c r="R84" s="360" t="s">
        <v>3</v>
      </c>
      <c r="S84" s="360" t="s">
        <v>4</v>
      </c>
      <c r="T84" s="360" t="s">
        <v>5</v>
      </c>
      <c r="U84" s="360" t="s">
        <v>70</v>
      </c>
      <c r="V84" s="360" t="s">
        <v>150</v>
      </c>
      <c r="W84" s="360"/>
    </row>
    <row r="85" spans="1:25" ht="15.75" thickBot="1" x14ac:dyDescent="0.3">
      <c r="O85" s="360"/>
      <c r="P85" s="360"/>
      <c r="Q85" s="360"/>
      <c r="R85" s="360"/>
      <c r="S85" s="360"/>
      <c r="T85" s="360"/>
      <c r="U85" s="360"/>
      <c r="V85" s="4" t="s">
        <v>151</v>
      </c>
      <c r="W85" s="4" t="s">
        <v>152</v>
      </c>
    </row>
    <row r="86" spans="1:25" ht="15.75" thickBot="1" x14ac:dyDescent="0.3">
      <c r="B86" s="47"/>
      <c r="L86" s="36"/>
      <c r="O86" s="111">
        <f>Q76</f>
        <v>0</v>
      </c>
      <c r="P86" s="111">
        <f>Q77</f>
        <v>111.08919098275007</v>
      </c>
      <c r="Q86" s="111">
        <f>Q78</f>
        <v>112.33738413985958</v>
      </c>
      <c r="R86" s="111">
        <f>Q79</f>
        <v>142.33738413985958</v>
      </c>
      <c r="S86" s="112">
        <f>Q80</f>
        <v>177.08</v>
      </c>
      <c r="T86" s="111">
        <f>Q81</f>
        <v>387.07738413985959</v>
      </c>
      <c r="U86" s="111">
        <f>Q82</f>
        <v>0</v>
      </c>
      <c r="V86" s="113">
        <f>MAX(P76:P82)</f>
        <v>0.18298555377207068</v>
      </c>
      <c r="W86" s="111">
        <f>MAX(O86:U86)</f>
        <v>387.07738413985959</v>
      </c>
    </row>
    <row r="87" spans="1:25" x14ac:dyDescent="0.25">
      <c r="B87" s="47"/>
      <c r="L87" s="36"/>
    </row>
    <row r="88" spans="1:25" s="87" customFormat="1" x14ac:dyDescent="0.25">
      <c r="B88" s="101"/>
      <c r="L88" s="106"/>
      <c r="P88" s="104"/>
      <c r="Q88" s="105"/>
    </row>
    <row r="89" spans="1:25" s="87" customFormat="1" x14ac:dyDescent="0.25">
      <c r="B89" s="101"/>
      <c r="L89" s="106"/>
      <c r="P89" s="104"/>
      <c r="Q89" s="105"/>
    </row>
    <row r="90" spans="1:25" ht="18.75" x14ac:dyDescent="0.3">
      <c r="B90" s="99" t="s">
        <v>186</v>
      </c>
      <c r="L90" s="36"/>
      <c r="P90" s="40"/>
      <c r="Q90" s="39"/>
    </row>
    <row r="91" spans="1:25" ht="15.75" thickBot="1" x14ac:dyDescent="0.3">
      <c r="B91" s="47"/>
      <c r="L91" s="36"/>
      <c r="S91" s="52" t="s">
        <v>187</v>
      </c>
    </row>
    <row r="92" spans="1:25" ht="19.5" thickBot="1" x14ac:dyDescent="0.3">
      <c r="B92" s="355" t="s">
        <v>44</v>
      </c>
      <c r="C92" s="356"/>
      <c r="F92" s="6" t="s">
        <v>62</v>
      </c>
      <c r="G92" s="7">
        <f>5.58-0.0011*Q95</f>
        <v>4.6449999999999996</v>
      </c>
      <c r="H92" s="5" t="s">
        <v>189</v>
      </c>
      <c r="J92" s="8" t="s">
        <v>92</v>
      </c>
      <c r="M92" s="5" t="s">
        <v>190</v>
      </c>
      <c r="S92" s="100" t="s">
        <v>188</v>
      </c>
    </row>
    <row r="93" spans="1:25" ht="19.5" thickBot="1" x14ac:dyDescent="0.35">
      <c r="C93" s="357" t="s">
        <v>88</v>
      </c>
      <c r="D93" s="357"/>
      <c r="E93" s="357"/>
      <c r="F93" s="357"/>
      <c r="G93" s="357"/>
      <c r="H93" s="357"/>
      <c r="I93" s="357"/>
      <c r="J93" s="357"/>
      <c r="K93" s="357"/>
      <c r="L93" s="10"/>
      <c r="M93" s="10">
        <v>1.25</v>
      </c>
      <c r="O93" s="99" t="s">
        <v>185</v>
      </c>
      <c r="R93" s="5" t="s">
        <v>193</v>
      </c>
      <c r="S93" s="5" t="s">
        <v>194</v>
      </c>
    </row>
    <row r="94" spans="1:25" ht="69" customHeight="1" thickBot="1" x14ac:dyDescent="0.3">
      <c r="B94" s="351" t="s">
        <v>61</v>
      </c>
      <c r="C94" s="351" t="s">
        <v>17</v>
      </c>
      <c r="D94" s="351" t="s">
        <v>18</v>
      </c>
      <c r="E94" s="351" t="s">
        <v>207</v>
      </c>
      <c r="F94" s="351" t="s">
        <v>19</v>
      </c>
      <c r="G94" s="361" t="s">
        <v>28</v>
      </c>
      <c r="H94" s="362"/>
      <c r="I94" s="363"/>
      <c r="J94" s="353" t="s">
        <v>26</v>
      </c>
      <c r="K94" s="354"/>
      <c r="L94" s="358" t="s">
        <v>60</v>
      </c>
      <c r="M94" s="358" t="s">
        <v>35</v>
      </c>
      <c r="O94" s="12" t="s">
        <v>6</v>
      </c>
      <c r="P94" s="13" t="s">
        <v>0</v>
      </c>
      <c r="Q94" s="14" t="s">
        <v>63</v>
      </c>
      <c r="R94" s="11" t="s">
        <v>121</v>
      </c>
      <c r="S94" s="11" t="s">
        <v>122</v>
      </c>
      <c r="T94" s="15" t="s">
        <v>1</v>
      </c>
    </row>
    <row r="95" spans="1:25" ht="25.5" x14ac:dyDescent="0.25">
      <c r="B95" s="352"/>
      <c r="C95" s="352"/>
      <c r="D95" s="352"/>
      <c r="E95" s="364"/>
      <c r="F95" s="352"/>
      <c r="G95" s="16" t="s">
        <v>27</v>
      </c>
      <c r="H95" s="16" t="s">
        <v>29</v>
      </c>
      <c r="I95" s="16" t="s">
        <v>192</v>
      </c>
      <c r="J95" s="16" t="s">
        <v>25</v>
      </c>
      <c r="K95" s="17" t="s">
        <v>24</v>
      </c>
      <c r="L95" s="359"/>
      <c r="M95" s="359"/>
      <c r="O95" s="18" t="s">
        <v>9</v>
      </c>
      <c r="P95" s="19">
        <v>0.15724563206577605</v>
      </c>
      <c r="Q95" s="20">
        <v>850</v>
      </c>
      <c r="R95" s="21">
        <v>19.7</v>
      </c>
      <c r="S95" s="49">
        <f>R95</f>
        <v>19.7</v>
      </c>
      <c r="T95" s="53">
        <v>153</v>
      </c>
    </row>
    <row r="96" spans="1:25" ht="30" x14ac:dyDescent="0.25">
      <c r="B96" s="24">
        <v>1</v>
      </c>
      <c r="C96" s="121">
        <f>G92</f>
        <v>4.6449999999999996</v>
      </c>
      <c r="D96" s="35">
        <v>0</v>
      </c>
      <c r="E96" s="35"/>
      <c r="F96" s="122" t="s">
        <v>20</v>
      </c>
      <c r="G96" s="123">
        <v>0</v>
      </c>
      <c r="H96" s="122" t="s">
        <v>20</v>
      </c>
      <c r="I96" s="128" t="s">
        <v>188</v>
      </c>
      <c r="J96" s="123">
        <v>0</v>
      </c>
      <c r="K96" s="123">
        <v>0</v>
      </c>
      <c r="L96" s="54">
        <v>1535.86</v>
      </c>
      <c r="M96" s="125">
        <f t="shared" ref="M96:M101" si="25">L96*$M$93</f>
        <v>1919.8249999999998</v>
      </c>
      <c r="O96" s="26" t="s">
        <v>64</v>
      </c>
      <c r="P96" s="26" t="s">
        <v>65</v>
      </c>
      <c r="Q96" s="26" t="s">
        <v>66</v>
      </c>
      <c r="R96" s="26" t="s">
        <v>120</v>
      </c>
      <c r="S96" s="26" t="s">
        <v>123</v>
      </c>
      <c r="T96" s="350" t="s">
        <v>67</v>
      </c>
      <c r="U96" s="350"/>
      <c r="V96" s="350"/>
      <c r="W96" s="350"/>
      <c r="X96" s="350"/>
      <c r="Y96" s="350"/>
    </row>
    <row r="97" spans="1:25" x14ac:dyDescent="0.25">
      <c r="A97" s="139"/>
      <c r="B97" s="24">
        <v>2</v>
      </c>
      <c r="C97" s="27">
        <f>ROUND($C$96*(1-D97),2)</f>
        <v>4.3899999999999997</v>
      </c>
      <c r="D97" s="50">
        <f>D96+E97</f>
        <v>5.3830227743271175E-2</v>
      </c>
      <c r="E97" s="50">
        <v>5.3830227743271175E-2</v>
      </c>
      <c r="F97" s="33" t="s">
        <v>86</v>
      </c>
      <c r="G97" s="25">
        <v>419.66</v>
      </c>
      <c r="H97" s="33" t="s">
        <v>30</v>
      </c>
      <c r="I97" s="128" t="s">
        <v>175</v>
      </c>
      <c r="J97" s="133">
        <f>G97*1.05^((LOG(6.2/5.84)/LOG(1.02)))-G97</f>
        <v>66.640638600412615</v>
      </c>
      <c r="K97" s="1">
        <f>K96+J97</f>
        <v>66.640638600412615</v>
      </c>
      <c r="L97" s="25">
        <f>$L$96+K97</f>
        <v>1602.5006386004125</v>
      </c>
      <c r="M97" s="2">
        <f t="shared" si="25"/>
        <v>2003.1257982505156</v>
      </c>
      <c r="O97" s="28" t="s">
        <v>69</v>
      </c>
      <c r="P97" s="29">
        <v>0</v>
      </c>
      <c r="Q97" s="30"/>
      <c r="R97" s="31">
        <f>M96</f>
        <v>1919.8249999999998</v>
      </c>
      <c r="S97" s="32">
        <f>IF($R$95=$S$95,$S$95,IF(RIGHT(O97)&gt;=RIGHT($S$92),$S$95,$R$95))</f>
        <v>19.7</v>
      </c>
      <c r="T97" s="33"/>
      <c r="U97" s="33"/>
      <c r="V97" s="33"/>
      <c r="W97" s="33"/>
      <c r="X97" s="33"/>
      <c r="Y97" s="33"/>
    </row>
    <row r="98" spans="1:25" x14ac:dyDescent="0.25">
      <c r="A98" s="139"/>
      <c r="B98" s="24">
        <v>3</v>
      </c>
      <c r="C98" s="27">
        <f>ROUND($C$96*(1-D98),2)</f>
        <v>4.2699999999999996</v>
      </c>
      <c r="D98" s="134">
        <f t="shared" ref="D98:D101" si="26">D97+E98</f>
        <v>8.0091518065851797E-2</v>
      </c>
      <c r="E98" s="50">
        <f>(0.3802*(6.7/6.2)-0.3846)</f>
        <v>2.6261290322580622E-2</v>
      </c>
      <c r="F98" s="135" t="s">
        <v>73</v>
      </c>
      <c r="G98" s="148">
        <f>G97+J97</f>
        <v>486.30063860041264</v>
      </c>
      <c r="H98" s="33" t="s">
        <v>30</v>
      </c>
      <c r="I98" s="128" t="s">
        <v>175</v>
      </c>
      <c r="J98" s="133">
        <f>G98*1.05^((LOG(6.7/6.2)/LOG(1.02)))-G98</f>
        <v>102.39939604647066</v>
      </c>
      <c r="K98" s="1">
        <f>K97+J98</f>
        <v>169.04003464688327</v>
      </c>
      <c r="L98" s="25">
        <f>$L$96+K98</f>
        <v>1704.9000346468831</v>
      </c>
      <c r="M98" s="2">
        <f t="shared" si="25"/>
        <v>2131.1250433086038</v>
      </c>
      <c r="O98" s="28" t="s">
        <v>15</v>
      </c>
      <c r="P98" s="29">
        <v>0.1</v>
      </c>
      <c r="Q98" s="30">
        <f>K97+(K98-K97)*(P98-D97)/(D98-D97)</f>
        <v>246.66822812928635</v>
      </c>
      <c r="R98" s="31">
        <f>Q98*$M$93</f>
        <v>308.33528516160794</v>
      </c>
      <c r="S98" s="32">
        <f>IF($R$95=$S$95,$S$95,IF(RIGHT(O98)&gt;=RIGHT($S$92),$S$95,$R$95))</f>
        <v>19.7</v>
      </c>
      <c r="T98" s="2"/>
      <c r="U98" s="2"/>
      <c r="V98" s="33"/>
      <c r="W98" s="33"/>
      <c r="X98" s="33"/>
      <c r="Y98" s="33"/>
    </row>
    <row r="99" spans="1:25" x14ac:dyDescent="0.25">
      <c r="A99" s="139"/>
      <c r="B99" s="24">
        <v>4</v>
      </c>
      <c r="C99" s="27">
        <f>ROUND($C$96*(1-D99),2)</f>
        <v>4.08</v>
      </c>
      <c r="D99" s="50">
        <f t="shared" si="26"/>
        <v>0.12149938556067566</v>
      </c>
      <c r="E99" s="50">
        <v>4.1407867494823863E-2</v>
      </c>
      <c r="F99" s="33" t="s">
        <v>87</v>
      </c>
      <c r="G99" s="25">
        <v>140.05000000000001</v>
      </c>
      <c r="H99" s="33" t="s">
        <v>31</v>
      </c>
      <c r="I99" s="128" t="s">
        <v>175</v>
      </c>
      <c r="J99" s="25">
        <v>27.63</v>
      </c>
      <c r="K99" s="1">
        <f>K98+J99</f>
        <v>196.67003464688327</v>
      </c>
      <c r="L99" s="25">
        <f>$L$96+K99</f>
        <v>1732.5300346468832</v>
      </c>
      <c r="M99" s="2">
        <f t="shared" si="25"/>
        <v>2165.6625433086042</v>
      </c>
      <c r="O99" s="28" t="s">
        <v>2</v>
      </c>
      <c r="P99" s="29">
        <v>0.15</v>
      </c>
      <c r="Q99" s="30">
        <f>K98+(K99-K98)*(P99-D98)/(D99-D98)</f>
        <v>215.68748289043185</v>
      </c>
      <c r="R99" s="31">
        <f>Q99*$M$93</f>
        <v>269.60935361303984</v>
      </c>
      <c r="S99" s="32">
        <f>IF($R$95=$S$95,$S$95,IF(RIGHT(O99)&gt;=RIGHT($S$92),$S$95,$R$95))</f>
        <v>19.7</v>
      </c>
      <c r="T99" s="2"/>
      <c r="U99" s="2"/>
      <c r="V99" s="33"/>
      <c r="W99" s="33"/>
      <c r="X99" s="33"/>
      <c r="Y99" s="33"/>
    </row>
    <row r="100" spans="1:25" x14ac:dyDescent="0.25">
      <c r="A100" s="139"/>
      <c r="B100" s="24">
        <v>5</v>
      </c>
      <c r="C100" s="27">
        <f>ROUND($C$96*(1-D100),2)</f>
        <v>3.97</v>
      </c>
      <c r="D100" s="50">
        <f t="shared" si="26"/>
        <v>0.14634410605757009</v>
      </c>
      <c r="E100" s="50">
        <v>2.4844720496894429E-2</v>
      </c>
      <c r="F100" s="33" t="s">
        <v>57</v>
      </c>
      <c r="G100" s="25">
        <v>17.579999999999998</v>
      </c>
      <c r="H100" s="33" t="s">
        <v>33</v>
      </c>
      <c r="I100" s="128" t="s">
        <v>175</v>
      </c>
      <c r="J100" s="25">
        <v>19.89</v>
      </c>
      <c r="K100" s="1">
        <f>K99+J100</f>
        <v>216.56003464688325</v>
      </c>
      <c r="L100" s="25">
        <f>$L$96+K100</f>
        <v>1752.4200346468831</v>
      </c>
      <c r="M100" s="2">
        <f t="shared" si="25"/>
        <v>2190.5250433086039</v>
      </c>
      <c r="O100" s="28" t="s">
        <v>3</v>
      </c>
      <c r="P100" s="149">
        <v>0.15</v>
      </c>
      <c r="Q100" s="30">
        <f>U100-Y100</f>
        <v>408.27698289043167</v>
      </c>
      <c r="R100" s="31">
        <f>Q100*$M$93</f>
        <v>510.34622861303956</v>
      </c>
      <c r="S100" s="32">
        <f>IF($R$95=$S$95,$S$95,IF(RIGHT(O100)&gt;=RIGHT($S$92),$S$95,$R$95))</f>
        <v>19.7</v>
      </c>
      <c r="T100" s="43">
        <f>D101</f>
        <v>0.17740000667868819</v>
      </c>
      <c r="U100" s="1">
        <f>K101</f>
        <v>426.56003464688325</v>
      </c>
      <c r="V100" s="33"/>
      <c r="W100" s="55">
        <f>T100-P100</f>
        <v>2.7400006678688194E-2</v>
      </c>
      <c r="X100" s="55">
        <f>D99-W100</f>
        <v>9.4099378881987467E-2</v>
      </c>
      <c r="Y100" s="1">
        <f>(K99-K98)-(K99-K98)*(X100-D98)/(D99-D98)</f>
        <v>18.283051756451606</v>
      </c>
    </row>
    <row r="101" spans="1:25" x14ac:dyDescent="0.25">
      <c r="A101" s="139"/>
      <c r="B101" s="24">
        <v>6</v>
      </c>
      <c r="C101" s="27">
        <f>ROUND($C$96*(1-D101),2)</f>
        <v>3.82</v>
      </c>
      <c r="D101" s="50">
        <f t="shared" si="26"/>
        <v>0.17740000667868819</v>
      </c>
      <c r="E101" s="50">
        <v>3.1055900621118099E-2</v>
      </c>
      <c r="F101" s="33" t="s">
        <v>58</v>
      </c>
      <c r="G101" s="25">
        <v>0</v>
      </c>
      <c r="H101" s="33" t="s">
        <v>58</v>
      </c>
      <c r="I101" s="128" t="s">
        <v>176</v>
      </c>
      <c r="J101" s="25">
        <v>210</v>
      </c>
      <c r="K101" s="1">
        <f>K100+J101</f>
        <v>426.56003464688325</v>
      </c>
      <c r="L101" s="25">
        <f>$L$96+K101</f>
        <v>1962.4200346468831</v>
      </c>
      <c r="M101" s="2">
        <f t="shared" si="25"/>
        <v>2453.0250433086039</v>
      </c>
      <c r="O101" s="28" t="s">
        <v>4</v>
      </c>
      <c r="P101" s="37">
        <f>D101</f>
        <v>0.17740000667868819</v>
      </c>
      <c r="Q101" s="30">
        <f>K101</f>
        <v>426.56003464688325</v>
      </c>
      <c r="R101" s="31">
        <f>Q101*$M$93</f>
        <v>533.20004330860411</v>
      </c>
      <c r="S101" s="32">
        <f>IF($R$95=$S$95,$S$95,IF(RIGHT(O101)&gt;=RIGHT($S$92),$S$95,$R$95))</f>
        <v>19.7</v>
      </c>
      <c r="T101" s="35"/>
      <c r="U101" s="30"/>
      <c r="V101" s="24"/>
      <c r="W101" s="35"/>
      <c r="X101" s="35"/>
      <c r="Y101" s="30"/>
    </row>
    <row r="103" spans="1:25" ht="19.5" thickBot="1" x14ac:dyDescent="0.35">
      <c r="O103" s="99" t="s">
        <v>184</v>
      </c>
    </row>
    <row r="104" spans="1:25" ht="15.75" thickBot="1" x14ac:dyDescent="0.3">
      <c r="O104" s="360" t="s">
        <v>69</v>
      </c>
      <c r="P104" s="360" t="s">
        <v>15</v>
      </c>
      <c r="Q104" s="360" t="s">
        <v>2</v>
      </c>
      <c r="R104" s="360" t="s">
        <v>3</v>
      </c>
      <c r="S104" s="360" t="s">
        <v>4</v>
      </c>
      <c r="T104" s="360" t="s">
        <v>5</v>
      </c>
      <c r="U104" s="360" t="s">
        <v>70</v>
      </c>
      <c r="V104" s="360" t="s">
        <v>150</v>
      </c>
      <c r="W104" s="360"/>
    </row>
    <row r="105" spans="1:25" ht="15.75" thickBot="1" x14ac:dyDescent="0.3">
      <c r="O105" s="360"/>
      <c r="P105" s="360"/>
      <c r="Q105" s="360"/>
      <c r="R105" s="360"/>
      <c r="S105" s="360"/>
      <c r="T105" s="360"/>
      <c r="U105" s="360"/>
      <c r="V105" s="4" t="s">
        <v>151</v>
      </c>
      <c r="W105" s="4" t="s">
        <v>152</v>
      </c>
    </row>
    <row r="106" spans="1:25" ht="15.75" thickBot="1" x14ac:dyDescent="0.3">
      <c r="B106" s="47"/>
      <c r="L106" s="36"/>
      <c r="O106" s="111">
        <f>Q97</f>
        <v>0</v>
      </c>
      <c r="P106" s="111">
        <f>Q98</f>
        <v>246.66822812928635</v>
      </c>
      <c r="Q106" s="111">
        <f>Q99</f>
        <v>215.68748289043185</v>
      </c>
      <c r="R106" s="111">
        <f>Q100</f>
        <v>408.27698289043167</v>
      </c>
      <c r="S106" s="112">
        <f>Q101</f>
        <v>426.56003464688325</v>
      </c>
      <c r="T106" s="111">
        <f>Q102</f>
        <v>0</v>
      </c>
      <c r="U106" s="111">
        <f>Q103</f>
        <v>0</v>
      </c>
      <c r="V106" s="113">
        <f>MAX(P97:P103)</f>
        <v>0.17740000667868819</v>
      </c>
      <c r="W106" s="111">
        <f>MAX(O106:U106)</f>
        <v>426.56003464688325</v>
      </c>
    </row>
    <row r="107" spans="1:25" x14ac:dyDescent="0.25">
      <c r="B107" s="47"/>
      <c r="L107" s="36"/>
    </row>
    <row r="108" spans="1:25" x14ac:dyDescent="0.25">
      <c r="B108" s="47"/>
      <c r="L108" s="36"/>
      <c r="P108" s="40"/>
      <c r="Q108" s="39"/>
    </row>
    <row r="109" spans="1:25" s="87" customFormat="1" x14ac:dyDescent="0.25">
      <c r="B109" s="101"/>
      <c r="L109" s="106"/>
      <c r="P109" s="104"/>
      <c r="Q109" s="105"/>
    </row>
    <row r="110" spans="1:25" s="87" customFormat="1" x14ac:dyDescent="0.25">
      <c r="B110" s="101"/>
      <c r="L110" s="106"/>
      <c r="P110" s="104"/>
      <c r="Q110" s="105"/>
    </row>
    <row r="111" spans="1:25" ht="18.75" x14ac:dyDescent="0.3">
      <c r="B111" s="99" t="s">
        <v>186</v>
      </c>
      <c r="L111" s="36"/>
      <c r="P111" s="40"/>
      <c r="Q111" s="39"/>
    </row>
    <row r="112" spans="1:25" ht="19.5" thickBot="1" x14ac:dyDescent="0.35">
      <c r="B112" s="56"/>
      <c r="L112" s="36"/>
      <c r="P112" s="40"/>
      <c r="Q112" s="39"/>
      <c r="S112" s="52" t="s">
        <v>187</v>
      </c>
    </row>
    <row r="113" spans="1:25" ht="19.5" thickBot="1" x14ac:dyDescent="0.3">
      <c r="B113" s="355" t="s">
        <v>93</v>
      </c>
      <c r="C113" s="356"/>
      <c r="F113" s="6" t="s">
        <v>62</v>
      </c>
      <c r="G113" s="7">
        <v>4</v>
      </c>
      <c r="H113" s="5" t="s">
        <v>189</v>
      </c>
      <c r="J113" s="8" t="s">
        <v>94</v>
      </c>
      <c r="M113" s="5" t="s">
        <v>190</v>
      </c>
      <c r="S113" s="100" t="s">
        <v>188</v>
      </c>
    </row>
    <row r="114" spans="1:25" ht="36" customHeight="1" thickBot="1" x14ac:dyDescent="0.35">
      <c r="C114" s="357" t="s">
        <v>191</v>
      </c>
      <c r="D114" s="357"/>
      <c r="E114" s="357"/>
      <c r="F114" s="357"/>
      <c r="G114" s="357"/>
      <c r="H114" s="357"/>
      <c r="I114" s="357"/>
      <c r="J114" s="357"/>
      <c r="K114" s="357"/>
      <c r="L114" s="10"/>
      <c r="M114" s="10">
        <v>1.25</v>
      </c>
      <c r="O114" s="99" t="s">
        <v>185</v>
      </c>
      <c r="R114" s="5" t="s">
        <v>193</v>
      </c>
      <c r="S114" s="5" t="s">
        <v>194</v>
      </c>
    </row>
    <row r="115" spans="1:25" ht="69" customHeight="1" thickBot="1" x14ac:dyDescent="0.3">
      <c r="B115" s="351" t="s">
        <v>61</v>
      </c>
      <c r="C115" s="351" t="s">
        <v>17</v>
      </c>
      <c r="D115" s="351" t="s">
        <v>18</v>
      </c>
      <c r="E115" s="351" t="s">
        <v>207</v>
      </c>
      <c r="F115" s="351" t="s">
        <v>19</v>
      </c>
      <c r="G115" s="361" t="s">
        <v>28</v>
      </c>
      <c r="H115" s="362"/>
      <c r="I115" s="363"/>
      <c r="J115" s="353" t="s">
        <v>26</v>
      </c>
      <c r="K115" s="354"/>
      <c r="L115" s="358" t="s">
        <v>60</v>
      </c>
      <c r="M115" s="358" t="s">
        <v>35</v>
      </c>
      <c r="O115" s="12" t="s">
        <v>6</v>
      </c>
      <c r="P115" s="13" t="s">
        <v>0</v>
      </c>
      <c r="Q115" s="14" t="s">
        <v>63</v>
      </c>
      <c r="R115" s="11" t="s">
        <v>121</v>
      </c>
      <c r="S115" s="11" t="s">
        <v>122</v>
      </c>
      <c r="T115" s="15" t="s">
        <v>1</v>
      </c>
    </row>
    <row r="116" spans="1:25" ht="25.5" x14ac:dyDescent="0.25">
      <c r="B116" s="352"/>
      <c r="C116" s="352"/>
      <c r="D116" s="352"/>
      <c r="E116" s="364"/>
      <c r="F116" s="352"/>
      <c r="G116" s="16" t="s">
        <v>27</v>
      </c>
      <c r="H116" s="16" t="s">
        <v>29</v>
      </c>
      <c r="I116" s="16" t="s">
        <v>192</v>
      </c>
      <c r="J116" s="16" t="s">
        <v>25</v>
      </c>
      <c r="K116" s="17" t="s">
        <v>24</v>
      </c>
      <c r="L116" s="359"/>
      <c r="M116" s="359"/>
      <c r="O116" s="18" t="s">
        <v>78</v>
      </c>
      <c r="P116" s="19">
        <v>7.4999999999999997E-2</v>
      </c>
      <c r="Q116" s="20">
        <v>1500</v>
      </c>
      <c r="R116" s="21">
        <v>22.3</v>
      </c>
      <c r="S116" s="49">
        <v>22.3</v>
      </c>
      <c r="T116" s="22" t="s">
        <v>12</v>
      </c>
    </row>
    <row r="117" spans="1:25" ht="30" x14ac:dyDescent="0.25">
      <c r="B117" s="24">
        <v>1</v>
      </c>
      <c r="C117" s="27">
        <f>G113</f>
        <v>4</v>
      </c>
      <c r="D117" s="50">
        <v>0</v>
      </c>
      <c r="E117" s="50"/>
      <c r="F117" s="33" t="s">
        <v>20</v>
      </c>
      <c r="G117" s="1">
        <v>0</v>
      </c>
      <c r="H117" s="33" t="s">
        <v>20</v>
      </c>
      <c r="I117" s="128" t="s">
        <v>188</v>
      </c>
      <c r="J117" s="1">
        <v>0</v>
      </c>
      <c r="K117" s="1">
        <v>0</v>
      </c>
      <c r="L117" s="57">
        <v>1698.6392241690028</v>
      </c>
      <c r="M117" s="3">
        <f t="shared" ref="M117:M122" si="27">L117*$M$114</f>
        <v>2123.2990302112535</v>
      </c>
      <c r="O117" s="26" t="s">
        <v>64</v>
      </c>
      <c r="P117" s="26" t="s">
        <v>65</v>
      </c>
      <c r="Q117" s="26" t="s">
        <v>66</v>
      </c>
      <c r="R117" s="26" t="s">
        <v>120</v>
      </c>
      <c r="S117" s="26"/>
      <c r="T117" s="350" t="s">
        <v>67</v>
      </c>
      <c r="U117" s="350"/>
      <c r="V117" s="350"/>
      <c r="W117" s="350"/>
      <c r="X117" s="350"/>
      <c r="Y117" s="350"/>
    </row>
    <row r="118" spans="1:25" x14ac:dyDescent="0.25">
      <c r="A118" s="139"/>
      <c r="B118" s="24">
        <v>2</v>
      </c>
      <c r="C118" s="27">
        <f>ROUND($C$117*(1-D118),2)</f>
        <v>3.86</v>
      </c>
      <c r="D118" s="50">
        <f>D117+E118</f>
        <v>3.5294117647058768E-2</v>
      </c>
      <c r="E118" s="50">
        <v>3.5294117647058768E-2</v>
      </c>
      <c r="F118" s="33" t="s">
        <v>79</v>
      </c>
      <c r="G118" s="25">
        <v>476.59</v>
      </c>
      <c r="H118" s="33" t="s">
        <v>30</v>
      </c>
      <c r="I118" s="128" t="s">
        <v>175</v>
      </c>
      <c r="J118" s="133">
        <f>G118*1.05^((LOG(6.1/5.85)/LOG(1.02)))-G118</f>
        <v>51.760793686467139</v>
      </c>
      <c r="K118" s="1">
        <f>K117+J118</f>
        <v>51.760793686467139</v>
      </c>
      <c r="L118" s="1">
        <f>$L$117+K118</f>
        <v>1750.40001785547</v>
      </c>
      <c r="M118" s="3">
        <f t="shared" si="27"/>
        <v>2188.0000223193374</v>
      </c>
      <c r="O118" s="28" t="s">
        <v>69</v>
      </c>
      <c r="P118" s="29">
        <v>0</v>
      </c>
      <c r="Q118" s="30">
        <v>0</v>
      </c>
      <c r="R118" s="31">
        <f>M117</f>
        <v>2123.2990302112535</v>
      </c>
      <c r="S118" s="32">
        <f>IF($R$116=$S$116,$S$116,IF(RIGHT(O118)&gt;=RIGHT($S$113),$S$116,$R$116))</f>
        <v>22.3</v>
      </c>
      <c r="T118" s="33"/>
      <c r="U118" s="33"/>
      <c r="V118" s="33"/>
      <c r="W118" s="33"/>
      <c r="X118" s="33"/>
      <c r="Y118" s="33"/>
    </row>
    <row r="119" spans="1:25" x14ac:dyDescent="0.25">
      <c r="A119" s="139"/>
      <c r="B119" s="24">
        <v>3</v>
      </c>
      <c r="C119" s="27">
        <f>ROUND($C$117*(1-D119),2)</f>
        <v>3.7</v>
      </c>
      <c r="D119" s="134">
        <f t="shared" ref="D119:D122" si="28">D118+E119</f>
        <v>7.3788723675615023E-2</v>
      </c>
      <c r="E119" s="50">
        <f>(0.6506*(6.2/6.1) - 0.6429)+(0.3802*(6.6/6.2)-0.3846)</f>
        <v>3.8494606028556255E-2</v>
      </c>
      <c r="F119" s="135" t="s">
        <v>80</v>
      </c>
      <c r="G119" s="148">
        <f>G118+J118</f>
        <v>528.35079368646711</v>
      </c>
      <c r="H119" s="33" t="s">
        <v>30</v>
      </c>
      <c r="I119" s="128" t="s">
        <v>175</v>
      </c>
      <c r="J119" s="133">
        <f>G119*1.05^((LOG(6.6/6.1)/LOG(1.02)))-G119</f>
        <v>113.18345193831021</v>
      </c>
      <c r="K119" s="1">
        <f>K118+J119</f>
        <v>164.94424562477735</v>
      </c>
      <c r="L119" s="1">
        <f>$L$117+K119</f>
        <v>1863.5834697937801</v>
      </c>
      <c r="M119" s="3">
        <f t="shared" si="27"/>
        <v>2329.479337242225</v>
      </c>
      <c r="O119" s="28" t="s">
        <v>15</v>
      </c>
      <c r="P119" s="29">
        <v>0.1</v>
      </c>
      <c r="Q119" s="30">
        <f>K119+(K120-K119)*(P119-D119)/(D120-D119)</f>
        <v>233.00132619151742</v>
      </c>
      <c r="R119" s="31">
        <f>Q119*$M$114</f>
        <v>291.25165773939676</v>
      </c>
      <c r="S119" s="32">
        <f>IF($R$116=$S$116,$S$116,IF(RIGHT(O119)&gt;=RIGHT($S$113),$S$116,$R$116))</f>
        <v>22.3</v>
      </c>
      <c r="T119" s="2"/>
      <c r="U119" s="2"/>
      <c r="V119" s="33"/>
      <c r="W119" s="33"/>
      <c r="X119" s="33"/>
      <c r="Y119" s="33"/>
    </row>
    <row r="120" spans="1:25" x14ac:dyDescent="0.25">
      <c r="A120" s="139"/>
      <c r="B120" s="24">
        <v>4</v>
      </c>
      <c r="C120" s="27">
        <f>ROUND($C$117*(1-D120),2)</f>
        <v>3.58</v>
      </c>
      <c r="D120" s="50">
        <f t="shared" si="28"/>
        <v>0.10516127269522289</v>
      </c>
      <c r="E120" s="50">
        <v>3.137254901960787E-2</v>
      </c>
      <c r="F120" s="33" t="s">
        <v>168</v>
      </c>
      <c r="G120" s="25">
        <v>187.27922416900282</v>
      </c>
      <c r="H120" s="33" t="s">
        <v>31</v>
      </c>
      <c r="I120" s="128" t="s">
        <v>175</v>
      </c>
      <c r="J120" s="25">
        <v>81.458226977871277</v>
      </c>
      <c r="K120" s="1">
        <f>K119+J120</f>
        <v>246.40247260264863</v>
      </c>
      <c r="L120" s="1">
        <f>$L$117+K120</f>
        <v>1945.0416967716515</v>
      </c>
      <c r="M120" s="3">
        <f t="shared" si="27"/>
        <v>2431.3021209645644</v>
      </c>
      <c r="O120" s="28" t="s">
        <v>2</v>
      </c>
      <c r="P120" s="29">
        <v>0.15</v>
      </c>
      <c r="Q120" s="51">
        <f>U120-Y120</f>
        <v>546.53145252904369</v>
      </c>
      <c r="R120" s="31">
        <f>Q120*$M$114</f>
        <v>683.16431566130461</v>
      </c>
      <c r="S120" s="32">
        <f>IF($R$116=$S$116,$S$116,IF(RIGHT(O120)&gt;=RIGHT($S$113),$S$116,$R$116))</f>
        <v>22.3</v>
      </c>
      <c r="T120" s="43">
        <f>D122</f>
        <v>0.14633774328345817</v>
      </c>
      <c r="U120" s="2">
        <f>K122</f>
        <v>537.02247260264858</v>
      </c>
      <c r="V120" s="33"/>
      <c r="W120" s="50">
        <f>T120-P120</f>
        <v>-3.6622567165418285E-3</v>
      </c>
      <c r="X120" s="45">
        <f>D120-W120</f>
        <v>0.10882352941176472</v>
      </c>
      <c r="Y120" s="1">
        <f>(K120-K119)-(K120-K119)*(X120-D119)/(D120-D119)</f>
        <v>-9.5089799263951136</v>
      </c>
    </row>
    <row r="121" spans="1:25" x14ac:dyDescent="0.25">
      <c r="A121" s="139"/>
      <c r="B121" s="24">
        <v>5</v>
      </c>
      <c r="C121" s="27">
        <f>ROUND($C$117*(1-D121),2)</f>
        <v>3.55</v>
      </c>
      <c r="D121" s="50">
        <f t="shared" si="28"/>
        <v>0.11300440995012485</v>
      </c>
      <c r="E121" s="50">
        <v>7.8431372549019607E-3</v>
      </c>
      <c r="F121" s="33" t="s">
        <v>57</v>
      </c>
      <c r="G121" s="25">
        <v>15.67</v>
      </c>
      <c r="H121" s="33" t="s">
        <v>33</v>
      </c>
      <c r="I121" s="128" t="s">
        <v>176</v>
      </c>
      <c r="J121" s="25">
        <v>20.62</v>
      </c>
      <c r="K121" s="1">
        <f>K120+J121</f>
        <v>267.02247260264863</v>
      </c>
      <c r="L121" s="1">
        <f>$L$117+K121</f>
        <v>1965.6616967716513</v>
      </c>
      <c r="M121" s="3">
        <f t="shared" si="27"/>
        <v>2457.0771209645641</v>
      </c>
      <c r="O121" s="28" t="s">
        <v>3</v>
      </c>
      <c r="P121" s="29">
        <f>D122</f>
        <v>0.14633774328345817</v>
      </c>
      <c r="Q121" s="51">
        <f>K122</f>
        <v>537.02247260264858</v>
      </c>
      <c r="R121" s="31">
        <f>Q121*$M$114</f>
        <v>671.27809075331072</v>
      </c>
      <c r="S121" s="32">
        <f>IF($R$116=$S$116,$S$116,IF(RIGHT(O121)&gt;=RIGHT($S$113),$S$116,$R$116))</f>
        <v>22.3</v>
      </c>
      <c r="T121" s="58"/>
      <c r="U121" s="1"/>
      <c r="V121" s="33"/>
      <c r="W121" s="55"/>
      <c r="X121" s="55"/>
      <c r="Y121" s="1"/>
    </row>
    <row r="122" spans="1:25" x14ac:dyDescent="0.25">
      <c r="A122" s="139"/>
      <c r="B122" s="24">
        <v>6</v>
      </c>
      <c r="C122" s="27">
        <f>ROUND($C$117*(1-D122),2)</f>
        <v>3.41</v>
      </c>
      <c r="D122" s="50">
        <f t="shared" si="28"/>
        <v>0.14633774328345817</v>
      </c>
      <c r="E122" s="50">
        <v>3.3333333333333326E-2</v>
      </c>
      <c r="F122" s="33" t="s">
        <v>58</v>
      </c>
      <c r="G122" s="1">
        <v>0</v>
      </c>
      <c r="H122" s="33" t="s">
        <v>58</v>
      </c>
      <c r="I122" s="128" t="s">
        <v>176</v>
      </c>
      <c r="J122" s="25">
        <v>270</v>
      </c>
      <c r="K122" s="1">
        <f>K121+J122</f>
        <v>537.02247260264858</v>
      </c>
      <c r="L122" s="1">
        <f>$L$117+K122</f>
        <v>2235.6616967716513</v>
      </c>
      <c r="M122" s="3">
        <f t="shared" si="27"/>
        <v>2794.5771209645641</v>
      </c>
    </row>
    <row r="124" spans="1:25" ht="19.5" thickBot="1" x14ac:dyDescent="0.35">
      <c r="O124" s="99" t="s">
        <v>184</v>
      </c>
    </row>
    <row r="125" spans="1:25" ht="15.75" thickBot="1" x14ac:dyDescent="0.3">
      <c r="O125" s="360" t="s">
        <v>69</v>
      </c>
      <c r="P125" s="360" t="s">
        <v>15</v>
      </c>
      <c r="Q125" s="360" t="s">
        <v>2</v>
      </c>
      <c r="R125" s="360" t="s">
        <v>3</v>
      </c>
      <c r="S125" s="360" t="s">
        <v>4</v>
      </c>
      <c r="T125" s="360" t="s">
        <v>5</v>
      </c>
      <c r="U125" s="360" t="s">
        <v>70</v>
      </c>
      <c r="V125" s="360" t="s">
        <v>150</v>
      </c>
      <c r="W125" s="360"/>
    </row>
    <row r="126" spans="1:25" ht="15.75" thickBot="1" x14ac:dyDescent="0.3">
      <c r="O126" s="360"/>
      <c r="P126" s="360"/>
      <c r="Q126" s="360"/>
      <c r="R126" s="360"/>
      <c r="S126" s="360"/>
      <c r="T126" s="360"/>
      <c r="U126" s="360"/>
      <c r="V126" s="4" t="s">
        <v>151</v>
      </c>
      <c r="W126" s="4" t="s">
        <v>152</v>
      </c>
    </row>
    <row r="127" spans="1:25" ht="15.75" thickBot="1" x14ac:dyDescent="0.3">
      <c r="B127" s="47"/>
      <c r="L127" s="36"/>
      <c r="O127" s="111">
        <f>Q118</f>
        <v>0</v>
      </c>
      <c r="P127" s="111">
        <f>Q119</f>
        <v>233.00132619151742</v>
      </c>
      <c r="Q127" s="112">
        <f>Q120</f>
        <v>546.53145252904369</v>
      </c>
      <c r="R127" s="112">
        <f>Q121</f>
        <v>537.02247260264858</v>
      </c>
      <c r="S127" s="112">
        <v>0</v>
      </c>
      <c r="T127" s="112">
        <v>0</v>
      </c>
      <c r="U127" s="112">
        <v>0</v>
      </c>
      <c r="V127" s="113">
        <f>P121</f>
        <v>0.14633774328345817</v>
      </c>
      <c r="W127" s="112">
        <f>Q121</f>
        <v>537.02247260264858</v>
      </c>
    </row>
    <row r="128" spans="1:25" x14ac:dyDescent="0.25">
      <c r="B128" s="47"/>
      <c r="L128" s="36"/>
    </row>
    <row r="129" spans="1:25" s="87" customFormat="1" x14ac:dyDescent="0.25">
      <c r="B129" s="101"/>
      <c r="L129" s="106"/>
      <c r="P129" s="104"/>
      <c r="Q129" s="114"/>
    </row>
    <row r="130" spans="1:25" s="87" customFormat="1" x14ac:dyDescent="0.25">
      <c r="B130" s="101"/>
      <c r="L130" s="106"/>
      <c r="P130" s="104"/>
      <c r="Q130" s="114"/>
    </row>
    <row r="131" spans="1:25" ht="18.75" x14ac:dyDescent="0.3">
      <c r="B131" s="99" t="s">
        <v>186</v>
      </c>
    </row>
    <row r="132" spans="1:25" ht="15.75" thickBot="1" x14ac:dyDescent="0.3">
      <c r="S132" s="52" t="s">
        <v>187</v>
      </c>
    </row>
    <row r="133" spans="1:25" ht="19.5" thickBot="1" x14ac:dyDescent="0.3">
      <c r="B133" s="355" t="s">
        <v>47</v>
      </c>
      <c r="C133" s="356"/>
      <c r="F133" s="6" t="s">
        <v>62</v>
      </c>
      <c r="G133" s="7">
        <v>4</v>
      </c>
      <c r="H133" s="5" t="s">
        <v>189</v>
      </c>
      <c r="J133" s="8" t="s">
        <v>94</v>
      </c>
      <c r="M133" s="5" t="s">
        <v>190</v>
      </c>
      <c r="S133" s="100" t="s">
        <v>188</v>
      </c>
    </row>
    <row r="134" spans="1:25" ht="34.5" customHeight="1" thickBot="1" x14ac:dyDescent="0.35">
      <c r="C134" s="357" t="s">
        <v>95</v>
      </c>
      <c r="D134" s="357"/>
      <c r="E134" s="357"/>
      <c r="F134" s="357"/>
      <c r="G134" s="357"/>
      <c r="H134" s="357"/>
      <c r="I134" s="357"/>
      <c r="J134" s="357"/>
      <c r="K134" s="357"/>
      <c r="L134" s="10"/>
      <c r="M134" s="10">
        <v>1.25</v>
      </c>
      <c r="O134" s="99" t="s">
        <v>185</v>
      </c>
      <c r="R134" s="5" t="s">
        <v>193</v>
      </c>
      <c r="S134" s="5" t="s">
        <v>194</v>
      </c>
    </row>
    <row r="135" spans="1:25" ht="55.5" customHeight="1" thickBot="1" x14ac:dyDescent="0.3">
      <c r="B135" s="351" t="s">
        <v>61</v>
      </c>
      <c r="C135" s="351" t="s">
        <v>17</v>
      </c>
      <c r="D135" s="351" t="s">
        <v>18</v>
      </c>
      <c r="E135" s="351" t="s">
        <v>207</v>
      </c>
      <c r="F135" s="351" t="s">
        <v>19</v>
      </c>
      <c r="G135" s="361" t="s">
        <v>28</v>
      </c>
      <c r="H135" s="362"/>
      <c r="I135" s="363"/>
      <c r="J135" s="353" t="s">
        <v>26</v>
      </c>
      <c r="K135" s="354"/>
      <c r="L135" s="358" t="s">
        <v>60</v>
      </c>
      <c r="M135" s="358" t="s">
        <v>35</v>
      </c>
      <c r="O135" s="12" t="s">
        <v>6</v>
      </c>
      <c r="P135" s="13" t="s">
        <v>0</v>
      </c>
      <c r="Q135" s="14" t="s">
        <v>63</v>
      </c>
      <c r="R135" s="11" t="s">
        <v>121</v>
      </c>
      <c r="S135" s="11" t="s">
        <v>122</v>
      </c>
      <c r="T135" s="15" t="s">
        <v>1</v>
      </c>
    </row>
    <row r="136" spans="1:25" ht="25.5" x14ac:dyDescent="0.25">
      <c r="B136" s="352"/>
      <c r="C136" s="352"/>
      <c r="D136" s="352"/>
      <c r="E136" s="364"/>
      <c r="F136" s="352"/>
      <c r="G136" s="16" t="s">
        <v>27</v>
      </c>
      <c r="H136" s="16" t="s">
        <v>29</v>
      </c>
      <c r="I136" s="16" t="s">
        <v>192</v>
      </c>
      <c r="J136" s="16" t="s">
        <v>25</v>
      </c>
      <c r="K136" s="17" t="s">
        <v>24</v>
      </c>
      <c r="L136" s="359"/>
      <c r="M136" s="359"/>
      <c r="O136" s="18" t="s">
        <v>50</v>
      </c>
      <c r="P136" s="19">
        <v>8.2500000000000018E-2</v>
      </c>
      <c r="Q136" s="20">
        <v>2600</v>
      </c>
      <c r="R136" s="21">
        <v>19.7</v>
      </c>
      <c r="S136" s="49">
        <f>R136</f>
        <v>19.7</v>
      </c>
      <c r="T136" s="53">
        <v>174</v>
      </c>
    </row>
    <row r="137" spans="1:25" ht="30" x14ac:dyDescent="0.25">
      <c r="B137" s="24">
        <v>1</v>
      </c>
      <c r="C137" s="121">
        <v>4</v>
      </c>
      <c r="D137" s="35">
        <v>0</v>
      </c>
      <c r="E137" s="35"/>
      <c r="F137" s="122" t="s">
        <v>20</v>
      </c>
      <c r="G137" s="123">
        <v>0</v>
      </c>
      <c r="H137" s="122" t="s">
        <v>20</v>
      </c>
      <c r="I137" s="128" t="s">
        <v>188</v>
      </c>
      <c r="J137" s="123"/>
      <c r="K137" s="123">
        <v>0</v>
      </c>
      <c r="L137" s="123">
        <v>3725.17</v>
      </c>
      <c r="M137" s="125">
        <f>L137*$M$134</f>
        <v>4656.4624999999996</v>
      </c>
      <c r="O137" s="26" t="s">
        <v>64</v>
      </c>
      <c r="P137" s="26" t="s">
        <v>65</v>
      </c>
      <c r="Q137" s="26" t="s">
        <v>66</v>
      </c>
      <c r="R137" s="26" t="s">
        <v>120</v>
      </c>
      <c r="S137" s="26" t="s">
        <v>123</v>
      </c>
      <c r="T137" s="350" t="s">
        <v>67</v>
      </c>
      <c r="U137" s="350"/>
      <c r="V137" s="350"/>
      <c r="W137" s="350"/>
      <c r="X137" s="350"/>
      <c r="Y137" s="350"/>
    </row>
    <row r="138" spans="1:25" x14ac:dyDescent="0.25">
      <c r="A138" s="139"/>
      <c r="B138" s="24">
        <v>2</v>
      </c>
      <c r="C138" s="27">
        <f>ROUND($C$137*(1-D138),2)</f>
        <v>3.98</v>
      </c>
      <c r="D138" s="134">
        <f>E138+D137</f>
        <v>5.8756756756756512E-3</v>
      </c>
      <c r="E138" s="50">
        <f xml:space="preserve"> (0.3802*(6.84/6.66)-0.3846)</f>
        <v>5.8756756756756512E-3</v>
      </c>
      <c r="F138" s="135" t="s">
        <v>96</v>
      </c>
      <c r="G138" s="25">
        <v>781.5934816762209</v>
      </c>
      <c r="H138" s="33" t="s">
        <v>30</v>
      </c>
      <c r="I138" s="128" t="s">
        <v>175</v>
      </c>
      <c r="J138" s="133">
        <f>G138*1.05^((LOG(6.84/6.66)/LOG(1.02)))-G138</f>
        <v>53.079989218747869</v>
      </c>
      <c r="K138" s="1">
        <f>J138+K137</f>
        <v>53.079989218747869</v>
      </c>
      <c r="L138" s="1">
        <f>$L$137+K138</f>
        <v>3778.2499892187479</v>
      </c>
      <c r="M138" s="2">
        <f>L138*$M$134</f>
        <v>4722.8124865234349</v>
      </c>
      <c r="O138" s="28" t="s">
        <v>69</v>
      </c>
      <c r="P138" s="29">
        <v>0</v>
      </c>
      <c r="Q138" s="30"/>
      <c r="R138" s="31">
        <f>M137</f>
        <v>4656.4624999999996</v>
      </c>
      <c r="S138" s="32">
        <f>IF($R$136=$S$136,$S$136,IF(RIGHT(O138)&gt;=RIGHT($S$133),$S$136,$R$136))</f>
        <v>19.7</v>
      </c>
      <c r="T138" s="33"/>
      <c r="U138" s="33"/>
      <c r="V138" s="33"/>
      <c r="W138" s="33"/>
      <c r="X138" s="33"/>
      <c r="Y138" s="33"/>
    </row>
    <row r="139" spans="1:25" x14ac:dyDescent="0.25">
      <c r="A139" s="139"/>
      <c r="B139" s="24">
        <v>3</v>
      </c>
      <c r="C139" s="27">
        <f>ROUND($C$137*(1-D139),2)</f>
        <v>3.68</v>
      </c>
      <c r="D139" s="50">
        <f>D138+E139</f>
        <v>8.0688643256723092E-2</v>
      </c>
      <c r="E139" s="50">
        <v>7.481296758104744E-2</v>
      </c>
      <c r="F139" s="33" t="s">
        <v>97</v>
      </c>
      <c r="G139" s="25">
        <v>262.86</v>
      </c>
      <c r="H139" s="33" t="s">
        <v>31</v>
      </c>
      <c r="I139" s="128" t="s">
        <v>175</v>
      </c>
      <c r="J139" s="1">
        <v>53.68</v>
      </c>
      <c r="K139" s="1">
        <f>J139+K138</f>
        <v>106.75998921874788</v>
      </c>
      <c r="L139" s="1">
        <f>$L$137+K139</f>
        <v>3831.9299892187478</v>
      </c>
      <c r="M139" s="2">
        <f>L139*$M$134</f>
        <v>4789.9124865234344</v>
      </c>
      <c r="O139" s="28" t="s">
        <v>15</v>
      </c>
      <c r="P139" s="29">
        <v>0.1</v>
      </c>
      <c r="Q139" s="30">
        <f>K139</f>
        <v>106.75998921874788</v>
      </c>
      <c r="R139" s="31">
        <f>Q139*$M$134</f>
        <v>133.44998652343486</v>
      </c>
      <c r="S139" s="32">
        <f>IF($R$136=$S$136,$S$136,IF(RIGHT(O139)&gt;=RIGHT($S$133),$S$136,$R$136))</f>
        <v>19.7</v>
      </c>
      <c r="T139" s="2"/>
      <c r="U139" s="2"/>
      <c r="V139" s="33"/>
      <c r="W139" s="33"/>
      <c r="X139" s="33"/>
      <c r="Y139" s="33"/>
    </row>
    <row r="140" spans="1:25" x14ac:dyDescent="0.25">
      <c r="A140" s="139"/>
      <c r="B140" s="24">
        <v>4</v>
      </c>
      <c r="C140" s="27">
        <f>ROUND($C$137*(1-D140),2)</f>
        <v>3.6</v>
      </c>
      <c r="D140" s="50">
        <f t="shared" ref="D140:D141" si="29">D139+E140</f>
        <v>0.10063876794500241</v>
      </c>
      <c r="E140" s="50">
        <v>1.9950124688279322E-2</v>
      </c>
      <c r="F140" s="33" t="s">
        <v>98</v>
      </c>
      <c r="G140" s="25">
        <f>20.91*2</f>
        <v>41.82</v>
      </c>
      <c r="H140" s="33" t="s">
        <v>33</v>
      </c>
      <c r="I140" s="128" t="s">
        <v>175</v>
      </c>
      <c r="J140" s="1">
        <v>39.36</v>
      </c>
      <c r="K140" s="1">
        <f>J140+K139</f>
        <v>146.11998921874789</v>
      </c>
      <c r="L140" s="1">
        <f>$L$137+K140</f>
        <v>3871.2899892187479</v>
      </c>
      <c r="M140" s="2">
        <f>L140*$M$134</f>
        <v>4839.1124865234351</v>
      </c>
      <c r="O140" s="28" t="s">
        <v>2</v>
      </c>
      <c r="P140" s="149">
        <v>0.1</v>
      </c>
      <c r="Q140" s="30">
        <f>U140-Y140</f>
        <v>540.61099207280188</v>
      </c>
      <c r="R140" s="31">
        <f>Q140*$M$134</f>
        <v>675.76374009100232</v>
      </c>
      <c r="S140" s="32">
        <f>IF($R$136=$S$136,$S$136,IF(RIGHT(O140)&gt;=RIGHT($S$133),$S$136,$R$136))</f>
        <v>19.7</v>
      </c>
      <c r="T140" s="43">
        <f>D141</f>
        <v>0.13555148614949111</v>
      </c>
      <c r="U140" s="2">
        <f>K141</f>
        <v>566.11998921874783</v>
      </c>
      <c r="V140" s="33"/>
      <c r="W140" s="45">
        <f>T140-P140</f>
        <v>3.5551486149491107E-2</v>
      </c>
      <c r="X140" s="45">
        <f>D139-W140</f>
        <v>4.5137157107231984E-2</v>
      </c>
      <c r="Y140" s="1">
        <f>(K139-K138)-(K139-K138)*(X140-D138)/(D139-D138)</f>
        <v>25.508997145945905</v>
      </c>
    </row>
    <row r="141" spans="1:25" x14ac:dyDescent="0.25">
      <c r="A141" s="139"/>
      <c r="B141" s="24">
        <v>5</v>
      </c>
      <c r="C141" s="27">
        <f>ROUND($C$137*(1-D141),2)</f>
        <v>3.46</v>
      </c>
      <c r="D141" s="50">
        <f t="shared" si="29"/>
        <v>0.13555148614949111</v>
      </c>
      <c r="E141" s="50">
        <v>3.4912718204488699E-2</v>
      </c>
      <c r="F141" s="33" t="s">
        <v>58</v>
      </c>
      <c r="G141" s="1">
        <v>0</v>
      </c>
      <c r="H141" s="33" t="s">
        <v>58</v>
      </c>
      <c r="I141" s="128" t="s">
        <v>176</v>
      </c>
      <c r="J141" s="1">
        <v>420</v>
      </c>
      <c r="K141" s="1">
        <f>J141+K140</f>
        <v>566.11998921874783</v>
      </c>
      <c r="L141" s="1">
        <f>$L$137+K141</f>
        <v>4291.2899892187479</v>
      </c>
      <c r="M141" s="2">
        <f>L141*$M$134</f>
        <v>5364.1124865234351</v>
      </c>
      <c r="O141" s="28" t="s">
        <v>3</v>
      </c>
      <c r="P141" s="37">
        <f>D141</f>
        <v>0.13555148614949111</v>
      </c>
      <c r="Q141" s="30">
        <f>K141</f>
        <v>566.11998921874783</v>
      </c>
      <c r="R141" s="31">
        <f>Q141*$M$134</f>
        <v>707.64998652343479</v>
      </c>
      <c r="S141" s="32">
        <f>IF($R$136=$S$136,$S$136,IF(RIGHT(O141)&gt;=RIGHT($S$133),$S$136,$R$136))</f>
        <v>19.7</v>
      </c>
      <c r="T141" s="2"/>
      <c r="U141" s="2"/>
      <c r="V141" s="33"/>
      <c r="W141" s="55"/>
      <c r="X141" s="55"/>
      <c r="Y141" s="1"/>
    </row>
    <row r="144" spans="1:25" ht="19.5" thickBot="1" x14ac:dyDescent="0.35">
      <c r="O144" s="99" t="s">
        <v>184</v>
      </c>
    </row>
    <row r="145" spans="1:25" ht="15.75" thickBot="1" x14ac:dyDescent="0.3">
      <c r="O145" s="360" t="s">
        <v>69</v>
      </c>
      <c r="P145" s="360" t="s">
        <v>15</v>
      </c>
      <c r="Q145" s="360" t="s">
        <v>2</v>
      </c>
      <c r="R145" s="360" t="s">
        <v>3</v>
      </c>
      <c r="S145" s="360" t="s">
        <v>4</v>
      </c>
      <c r="T145" s="360" t="s">
        <v>5</v>
      </c>
      <c r="U145" s="360" t="s">
        <v>70</v>
      </c>
      <c r="V145" s="360" t="s">
        <v>150</v>
      </c>
      <c r="W145" s="360"/>
    </row>
    <row r="146" spans="1:25" ht="15.75" thickBot="1" x14ac:dyDescent="0.3">
      <c r="O146" s="360"/>
      <c r="P146" s="360"/>
      <c r="Q146" s="360"/>
      <c r="R146" s="360"/>
      <c r="S146" s="360"/>
      <c r="T146" s="360"/>
      <c r="U146" s="360"/>
      <c r="V146" s="4" t="s">
        <v>151</v>
      </c>
      <c r="W146" s="4" t="s">
        <v>152</v>
      </c>
    </row>
    <row r="147" spans="1:25" ht="15.75" thickBot="1" x14ac:dyDescent="0.3">
      <c r="B147" s="47"/>
      <c r="C147" s="48"/>
      <c r="O147" s="111">
        <f>Q138</f>
        <v>0</v>
      </c>
      <c r="P147" s="111">
        <f>Q139</f>
        <v>106.75998921874788</v>
      </c>
      <c r="Q147" s="111">
        <f>Q140</f>
        <v>540.61099207280188</v>
      </c>
      <c r="R147" s="111">
        <f>Q141</f>
        <v>566.11998921874783</v>
      </c>
      <c r="S147" s="112">
        <f>Q142</f>
        <v>0</v>
      </c>
      <c r="T147" s="111">
        <f>Q143</f>
        <v>0</v>
      </c>
      <c r="U147" s="111">
        <f>Q144</f>
        <v>0</v>
      </c>
      <c r="V147" s="113">
        <f>MAX(P138:P144)</f>
        <v>0.13555148614949111</v>
      </c>
      <c r="W147" s="111">
        <f>MAX(O147:U147)</f>
        <v>566.11998921874783</v>
      </c>
    </row>
    <row r="148" spans="1:25" x14ac:dyDescent="0.25">
      <c r="B148" s="47"/>
      <c r="C148" s="48"/>
    </row>
    <row r="149" spans="1:25" s="87" customFormat="1" x14ac:dyDescent="0.25">
      <c r="B149" s="101"/>
      <c r="C149" s="102"/>
      <c r="P149" s="104"/>
      <c r="Q149" s="105"/>
    </row>
    <row r="150" spans="1:25" s="87" customFormat="1" x14ac:dyDescent="0.25">
      <c r="B150" s="101"/>
      <c r="C150" s="102"/>
      <c r="P150" s="104"/>
      <c r="Q150" s="105"/>
    </row>
    <row r="151" spans="1:25" ht="18.75" x14ac:dyDescent="0.3">
      <c r="B151" s="99" t="s">
        <v>186</v>
      </c>
      <c r="C151" s="48"/>
      <c r="P151" s="40"/>
      <c r="Q151" s="39"/>
    </row>
    <row r="152" spans="1:25" ht="15.75" thickBot="1" x14ac:dyDescent="0.3">
      <c r="S152" s="52" t="s">
        <v>187</v>
      </c>
    </row>
    <row r="153" spans="1:25" ht="19.5" thickBot="1" x14ac:dyDescent="0.3">
      <c r="B153" s="355" t="s">
        <v>48</v>
      </c>
      <c r="C153" s="356"/>
      <c r="F153" s="6" t="s">
        <v>62</v>
      </c>
      <c r="G153" s="7">
        <v>5.0999999999999996</v>
      </c>
      <c r="H153" s="5" t="s">
        <v>189</v>
      </c>
      <c r="J153" s="8" t="s">
        <v>105</v>
      </c>
      <c r="M153" s="5" t="s">
        <v>190</v>
      </c>
      <c r="S153" s="100" t="s">
        <v>188</v>
      </c>
    </row>
    <row r="154" spans="1:25" ht="35.25" customHeight="1" thickBot="1" x14ac:dyDescent="0.35">
      <c r="C154" s="357" t="s">
        <v>99</v>
      </c>
      <c r="D154" s="357"/>
      <c r="E154" s="357"/>
      <c r="F154" s="357"/>
      <c r="G154" s="357"/>
      <c r="H154" s="357"/>
      <c r="I154" s="357"/>
      <c r="J154" s="357"/>
      <c r="K154" s="357"/>
      <c r="L154" s="10"/>
      <c r="M154" s="10">
        <v>1.25</v>
      </c>
      <c r="O154" s="99" t="s">
        <v>185</v>
      </c>
      <c r="R154" s="5" t="s">
        <v>193</v>
      </c>
      <c r="S154" s="5" t="s">
        <v>194</v>
      </c>
    </row>
    <row r="155" spans="1:25" ht="75.75" customHeight="1" thickBot="1" x14ac:dyDescent="0.3">
      <c r="B155" s="351" t="s">
        <v>61</v>
      </c>
      <c r="C155" s="351" t="s">
        <v>17</v>
      </c>
      <c r="D155" s="351" t="s">
        <v>18</v>
      </c>
      <c r="E155" s="351" t="s">
        <v>207</v>
      </c>
      <c r="F155" s="351" t="s">
        <v>19</v>
      </c>
      <c r="G155" s="361" t="s">
        <v>28</v>
      </c>
      <c r="H155" s="362"/>
      <c r="I155" s="363"/>
      <c r="J155" s="353" t="s">
        <v>26</v>
      </c>
      <c r="K155" s="354"/>
      <c r="L155" s="358" t="s">
        <v>60</v>
      </c>
      <c r="M155" s="358" t="s">
        <v>35</v>
      </c>
      <c r="O155" s="12" t="s">
        <v>48</v>
      </c>
      <c r="P155" s="13" t="s">
        <v>0</v>
      </c>
      <c r="Q155" s="14" t="s">
        <v>63</v>
      </c>
      <c r="R155" s="11" t="s">
        <v>121</v>
      </c>
      <c r="S155" s="11" t="s">
        <v>122</v>
      </c>
      <c r="T155" s="15" t="s">
        <v>1</v>
      </c>
    </row>
    <row r="156" spans="1:25" ht="25.5" x14ac:dyDescent="0.25">
      <c r="B156" s="352"/>
      <c r="C156" s="352"/>
      <c r="D156" s="352"/>
      <c r="E156" s="364"/>
      <c r="F156" s="352"/>
      <c r="G156" s="16" t="s">
        <v>27</v>
      </c>
      <c r="H156" s="16" t="s">
        <v>29</v>
      </c>
      <c r="I156" s="16" t="s">
        <v>192</v>
      </c>
      <c r="J156" s="16" t="s">
        <v>25</v>
      </c>
      <c r="K156" s="17" t="s">
        <v>24</v>
      </c>
      <c r="L156" s="359"/>
      <c r="M156" s="359"/>
      <c r="O156" s="18" t="s">
        <v>78</v>
      </c>
      <c r="P156" s="19">
        <v>0.15094339622641506</v>
      </c>
      <c r="Q156" s="20">
        <v>1500</v>
      </c>
      <c r="R156" s="21">
        <v>20</v>
      </c>
      <c r="S156" s="49">
        <f>R156</f>
        <v>20</v>
      </c>
      <c r="T156" s="53" t="s">
        <v>12</v>
      </c>
    </row>
    <row r="157" spans="1:25" ht="30" x14ac:dyDescent="0.25">
      <c r="B157" s="24">
        <v>1</v>
      </c>
      <c r="C157" s="121">
        <v>5.0999999999999996</v>
      </c>
      <c r="D157" s="35">
        <v>0</v>
      </c>
      <c r="E157" s="35"/>
      <c r="F157" s="122" t="s">
        <v>20</v>
      </c>
      <c r="G157" s="123">
        <v>0</v>
      </c>
      <c r="H157" s="122" t="s">
        <v>20</v>
      </c>
      <c r="I157" s="128" t="s">
        <v>188</v>
      </c>
      <c r="J157" s="123">
        <v>0</v>
      </c>
      <c r="K157" s="123">
        <v>0</v>
      </c>
      <c r="L157" s="57">
        <v>1958.6799999999998</v>
      </c>
      <c r="M157" s="124">
        <f>L157*$M$154</f>
        <v>2448.35</v>
      </c>
      <c r="O157" s="26" t="s">
        <v>64</v>
      </c>
      <c r="P157" s="26" t="s">
        <v>65</v>
      </c>
      <c r="Q157" s="26" t="s">
        <v>66</v>
      </c>
      <c r="R157" s="26" t="s">
        <v>120</v>
      </c>
      <c r="S157" s="26" t="s">
        <v>123</v>
      </c>
      <c r="T157" s="350" t="s">
        <v>67</v>
      </c>
      <c r="U157" s="350"/>
      <c r="V157" s="350"/>
      <c r="W157" s="350"/>
      <c r="X157" s="350"/>
      <c r="Y157" s="350"/>
    </row>
    <row r="158" spans="1:25" x14ac:dyDescent="0.25">
      <c r="A158" s="139"/>
      <c r="B158" s="24">
        <v>2</v>
      </c>
      <c r="C158" s="27">
        <f>ROUND($C$157*(1-D158),2)</f>
        <v>4.91</v>
      </c>
      <c r="D158" s="134">
        <f>(0.6506*(6.1/5.85) - 0.6429) + (0.3802*(6.2/6.1)-0.3846)</f>
        <v>3.7336205688664692E-2</v>
      </c>
      <c r="E158" s="142">
        <v>3.7336205688664692E-2</v>
      </c>
      <c r="F158" s="135" t="s">
        <v>202</v>
      </c>
      <c r="G158" s="25">
        <v>476.59</v>
      </c>
      <c r="H158" s="33" t="s">
        <v>30</v>
      </c>
      <c r="I158" s="128" t="s">
        <v>175</v>
      </c>
      <c r="J158" s="133">
        <f>G158*1.05^((LOG(6.2/5.85)/LOG(1.02)))-G158</f>
        <v>73.357867168702967</v>
      </c>
      <c r="K158" s="25">
        <f>J158+K157</f>
        <v>73.357867168702967</v>
      </c>
      <c r="L158" s="46">
        <f>$L$157+K158</f>
        <v>2032.0378671687029</v>
      </c>
      <c r="M158" s="25">
        <f t="shared" ref="M158:M165" si="30">L158*$M$154</f>
        <v>2540.0473339608784</v>
      </c>
      <c r="O158" s="28" t="s">
        <v>69</v>
      </c>
      <c r="P158" s="29">
        <v>0</v>
      </c>
      <c r="Q158" s="31">
        <v>0</v>
      </c>
      <c r="R158" s="31">
        <f>M157</f>
        <v>2448.35</v>
      </c>
      <c r="S158" s="32">
        <f>IF($R$156=$S$156,$S$156,IF(RIGHT(O158)&gt;=RIGHT($S$153),$S$156,$R$156))</f>
        <v>20</v>
      </c>
      <c r="T158" s="33"/>
      <c r="U158" s="33"/>
      <c r="V158" s="33"/>
      <c r="W158" s="33"/>
      <c r="X158" s="33"/>
      <c r="Y158" s="33"/>
    </row>
    <row r="159" spans="1:25" x14ac:dyDescent="0.25">
      <c r="A159" s="139"/>
      <c r="B159" s="24">
        <v>3</v>
      </c>
      <c r="C159" s="27">
        <f t="shared" ref="C159:C165" si="31">ROUND($C$157*(1-D159),2)</f>
        <v>4.84</v>
      </c>
      <c r="D159" s="134">
        <f>D158+1.4%</f>
        <v>5.1336205688664691E-2</v>
      </c>
      <c r="E159" s="140">
        <v>1.3999999999999999E-2</v>
      </c>
      <c r="F159" s="135" t="s">
        <v>196</v>
      </c>
      <c r="G159" s="148">
        <f>G158+J158</f>
        <v>549.94786716870294</v>
      </c>
      <c r="H159" s="33" t="s">
        <v>30</v>
      </c>
      <c r="I159" s="128" t="s">
        <v>175</v>
      </c>
      <c r="J159" s="133">
        <f>G159*1.05^((LOG(6.5/6.2)/LOG(1.02)))-G159</f>
        <v>67.902448660219989</v>
      </c>
      <c r="K159" s="25">
        <f t="shared" ref="K159:K165" si="32">J159+K158</f>
        <v>141.26031582892296</v>
      </c>
      <c r="L159" s="46">
        <f>$L$157+K159</f>
        <v>2099.9403158289228</v>
      </c>
      <c r="M159" s="25">
        <f t="shared" si="30"/>
        <v>2624.9253947861534</v>
      </c>
      <c r="O159" s="28" t="s">
        <v>15</v>
      </c>
      <c r="P159" s="29">
        <v>0.09</v>
      </c>
      <c r="Q159" s="31">
        <f>K158+(K159-K158)*(P159-D158)/(D159-D158)</f>
        <v>328.78648070283379</v>
      </c>
      <c r="R159" s="31">
        <f>Q159*$M$154</f>
        <v>410.98310087854225</v>
      </c>
      <c r="S159" s="32">
        <f>IF($R$156=$S$156,$S$156,IF(RIGHT(O159)&gt;=RIGHT($S$153),$S$156,$R$156))</f>
        <v>20</v>
      </c>
      <c r="T159" s="2"/>
      <c r="U159" s="2"/>
      <c r="V159" s="33"/>
      <c r="W159" s="33"/>
      <c r="X159" s="33"/>
      <c r="Y159" s="33"/>
    </row>
    <row r="160" spans="1:25" x14ac:dyDescent="0.25">
      <c r="A160" s="139"/>
      <c r="B160" s="24">
        <v>4</v>
      </c>
      <c r="C160" s="27">
        <f t="shared" si="31"/>
        <v>4.66</v>
      </c>
      <c r="D160" s="140">
        <f>D159+3.4%</f>
        <v>8.5336205688664693E-2</v>
      </c>
      <c r="E160" s="140">
        <v>3.4000000000000002E-2</v>
      </c>
      <c r="F160" s="179" t="s">
        <v>100</v>
      </c>
      <c r="G160" s="25">
        <v>118.2</v>
      </c>
      <c r="H160" s="33" t="s">
        <v>31</v>
      </c>
      <c r="I160" s="128" t="s">
        <v>175</v>
      </c>
      <c r="J160" s="25">
        <v>11.05</v>
      </c>
      <c r="K160" s="25">
        <f t="shared" si="32"/>
        <v>152.31031582892297</v>
      </c>
      <c r="L160" s="25">
        <f t="shared" ref="L160:L163" si="33">$L$157+K160</f>
        <v>2110.9903158289226</v>
      </c>
      <c r="M160" s="25">
        <f t="shared" si="30"/>
        <v>2638.7378947861534</v>
      </c>
      <c r="O160" s="28" t="s">
        <v>2</v>
      </c>
      <c r="P160" s="29">
        <v>0.15</v>
      </c>
      <c r="Q160" s="31">
        <f>ROUND(U160-Y160,2)</f>
        <v>254.81</v>
      </c>
      <c r="R160" s="31">
        <f>Q160*$M$154</f>
        <v>318.51249999999999</v>
      </c>
      <c r="S160" s="32">
        <f>IF($R$156=$S$156,$S$156,IF(RIGHT(O160)&gt;=RIGHT($S$153),$S$156,$R$156))</f>
        <v>20</v>
      </c>
      <c r="T160" s="43">
        <f>D162</f>
        <v>0.11233620568866469</v>
      </c>
      <c r="U160" s="25">
        <f>K162</f>
        <v>199.63031582892296</v>
      </c>
      <c r="V160" s="33"/>
      <c r="W160" s="60">
        <f>T160-P160</f>
        <v>-3.7663794311335305E-2</v>
      </c>
      <c r="X160" s="45">
        <f>D161-W160</f>
        <v>0.13900000000000001</v>
      </c>
      <c r="Y160" s="1">
        <f>(K161-K160)-(K161-K160)*(X160-D160)/(D161-D160)</f>
        <v>-55.177458666106247</v>
      </c>
    </row>
    <row r="161" spans="1:25" x14ac:dyDescent="0.25">
      <c r="A161" s="139"/>
      <c r="B161" s="24">
        <v>5</v>
      </c>
      <c r="C161" s="27">
        <f t="shared" si="31"/>
        <v>4.58</v>
      </c>
      <c r="D161" s="140">
        <f>D160+1.6%</f>
        <v>0.10133620568866469</v>
      </c>
      <c r="E161" s="140">
        <v>1.6E-2</v>
      </c>
      <c r="F161" s="179" t="s">
        <v>101</v>
      </c>
      <c r="G161" s="25">
        <v>129.25</v>
      </c>
      <c r="H161" s="33" t="s">
        <v>31</v>
      </c>
      <c r="I161" s="128" t="s">
        <v>175</v>
      </c>
      <c r="J161" s="25">
        <v>23.44</v>
      </c>
      <c r="K161" s="25">
        <f t="shared" si="32"/>
        <v>175.75031582892296</v>
      </c>
      <c r="L161" s="25">
        <f t="shared" si="33"/>
        <v>2134.4303158289226</v>
      </c>
      <c r="M161" s="25">
        <f t="shared" si="30"/>
        <v>2668.0378947861532</v>
      </c>
      <c r="O161" s="28" t="s">
        <v>3</v>
      </c>
      <c r="P161" s="149">
        <v>0.15</v>
      </c>
      <c r="Q161" s="31">
        <f>U161-(Y161+Y162)</f>
        <v>481.30855283326645</v>
      </c>
      <c r="R161" s="31">
        <f>Q161*$M$154</f>
        <v>601.63569104158307</v>
      </c>
      <c r="S161" s="32">
        <f>IF($R$156=$S$156,$S$156,IF(RIGHT(O161)&gt;=RIGHT($S$153),$S$156,$R$156))</f>
        <v>20</v>
      </c>
      <c r="T161" s="43">
        <f>D165</f>
        <v>0.16033620568866469</v>
      </c>
      <c r="U161" s="1">
        <f>K165</f>
        <v>517.64031582892289</v>
      </c>
      <c r="V161" s="33"/>
      <c r="W161" s="60">
        <f>T161-P161</f>
        <v>1.0336205688664696E-2</v>
      </c>
      <c r="X161" s="60">
        <f>D163-W161</f>
        <v>0.10999999999999999</v>
      </c>
      <c r="Y161" s="61">
        <f>(K163-K162)-(K163-K162)*(X161-D162)/(D163-D162)</f>
        <v>36.331762995656447</v>
      </c>
    </row>
    <row r="162" spans="1:25" x14ac:dyDescent="0.25">
      <c r="A162" s="139"/>
      <c r="B162" s="24">
        <v>6</v>
      </c>
      <c r="C162" s="27">
        <f t="shared" si="31"/>
        <v>4.53</v>
      </c>
      <c r="D162" s="140">
        <f>D161+1.1%</f>
        <v>0.11233620568866469</v>
      </c>
      <c r="E162" s="140">
        <v>1.0999999999999996E-2</v>
      </c>
      <c r="F162" s="33" t="s">
        <v>102</v>
      </c>
      <c r="G162" s="25">
        <v>54.62</v>
      </c>
      <c r="H162" s="33" t="s">
        <v>32</v>
      </c>
      <c r="I162" s="128" t="s">
        <v>176</v>
      </c>
      <c r="J162" s="25">
        <v>23.88</v>
      </c>
      <c r="K162" s="25">
        <f t="shared" si="32"/>
        <v>199.63031582892296</v>
      </c>
      <c r="L162" s="46">
        <f>$L$157+K162</f>
        <v>2158.3103158289227</v>
      </c>
      <c r="M162" s="25">
        <f t="shared" si="30"/>
        <v>2697.8878947861535</v>
      </c>
      <c r="O162" s="28" t="s">
        <v>4</v>
      </c>
      <c r="P162" s="37">
        <f>D165</f>
        <v>0.16033620568866469</v>
      </c>
      <c r="Q162" s="31">
        <f>K165</f>
        <v>517.64031582892289</v>
      </c>
      <c r="R162" s="31">
        <f>Q162*$M$154</f>
        <v>647.05039478615367</v>
      </c>
      <c r="S162" s="32">
        <f>IF($R$156=$S$156,$S$156,IF(RIGHT(O162)&gt;=RIGHT($S$153),$S$156,$R$156))</f>
        <v>20</v>
      </c>
      <c r="T162" s="35"/>
      <c r="U162" s="30"/>
      <c r="V162" s="24"/>
      <c r="W162" s="35"/>
      <c r="X162" s="35"/>
      <c r="Y162" s="61"/>
    </row>
    <row r="163" spans="1:25" x14ac:dyDescent="0.25">
      <c r="A163" s="139"/>
      <c r="B163" s="24">
        <v>7</v>
      </c>
      <c r="C163" s="27">
        <f t="shared" si="31"/>
        <v>4.49</v>
      </c>
      <c r="D163" s="140">
        <f>D162+0.8%</f>
        <v>0.12033620568866468</v>
      </c>
      <c r="E163" s="140">
        <v>7.9999999999999932E-3</v>
      </c>
      <c r="F163" s="179" t="s">
        <v>103</v>
      </c>
      <c r="G163" s="25">
        <v>152.68</v>
      </c>
      <c r="H163" s="33" t="s">
        <v>31</v>
      </c>
      <c r="I163" s="128" t="s">
        <v>175</v>
      </c>
      <c r="J163" s="25">
        <v>28.12</v>
      </c>
      <c r="K163" s="25">
        <f t="shared" si="32"/>
        <v>227.75031582892296</v>
      </c>
      <c r="L163" s="25">
        <f t="shared" si="33"/>
        <v>2186.4303158289226</v>
      </c>
      <c r="M163" s="25">
        <f t="shared" si="30"/>
        <v>2733.0378947861532</v>
      </c>
    </row>
    <row r="164" spans="1:25" ht="19.5" thickBot="1" x14ac:dyDescent="0.35">
      <c r="A164" s="139"/>
      <c r="B164" s="24">
        <v>8</v>
      </c>
      <c r="C164" s="27">
        <f t="shared" si="31"/>
        <v>4.45</v>
      </c>
      <c r="D164" s="140">
        <f>D163+0.8%</f>
        <v>0.12833620568866469</v>
      </c>
      <c r="E164" s="140">
        <v>8.0000000000000071E-3</v>
      </c>
      <c r="F164" s="33" t="s">
        <v>57</v>
      </c>
      <c r="G164" s="25">
        <v>17.57</v>
      </c>
      <c r="H164" s="33" t="s">
        <v>33</v>
      </c>
      <c r="I164" s="128" t="s">
        <v>175</v>
      </c>
      <c r="J164" s="25">
        <v>19.89</v>
      </c>
      <c r="K164" s="25">
        <f t="shared" si="32"/>
        <v>247.64031582892295</v>
      </c>
      <c r="L164" s="46">
        <f>$L$157+K164</f>
        <v>2206.320315828923</v>
      </c>
      <c r="M164" s="25">
        <f t="shared" si="30"/>
        <v>2757.9003947861538</v>
      </c>
      <c r="O164" s="99" t="s">
        <v>184</v>
      </c>
    </row>
    <row r="165" spans="1:25" ht="15.75" thickBot="1" x14ac:dyDescent="0.3">
      <c r="A165" s="139"/>
      <c r="B165" s="24">
        <v>9</v>
      </c>
      <c r="C165" s="27">
        <f t="shared" si="31"/>
        <v>4.28</v>
      </c>
      <c r="D165" s="140">
        <f>D164+3.2%</f>
        <v>0.16033620568866469</v>
      </c>
      <c r="E165" s="140">
        <v>3.2000000000000001E-2</v>
      </c>
      <c r="F165" s="33" t="s">
        <v>58</v>
      </c>
      <c r="G165" s="1">
        <v>0</v>
      </c>
      <c r="H165" s="33" t="s">
        <v>58</v>
      </c>
      <c r="I165" s="128" t="s">
        <v>176</v>
      </c>
      <c r="J165" s="25">
        <v>270</v>
      </c>
      <c r="K165" s="25">
        <f t="shared" si="32"/>
        <v>517.64031582892289</v>
      </c>
      <c r="L165" s="46">
        <f>$L$157+K165</f>
        <v>2476.3203158289225</v>
      </c>
      <c r="M165" s="25">
        <f t="shared" si="30"/>
        <v>3095.4003947861529</v>
      </c>
      <c r="O165" s="360" t="s">
        <v>69</v>
      </c>
      <c r="P165" s="360" t="s">
        <v>15</v>
      </c>
      <c r="Q165" s="360" t="s">
        <v>2</v>
      </c>
      <c r="R165" s="360" t="s">
        <v>3</v>
      </c>
      <c r="S165" s="360" t="s">
        <v>4</v>
      </c>
      <c r="T165" s="360" t="s">
        <v>5</v>
      </c>
      <c r="U165" s="360" t="s">
        <v>70</v>
      </c>
      <c r="V165" s="360" t="s">
        <v>150</v>
      </c>
      <c r="W165" s="360"/>
    </row>
    <row r="166" spans="1:25" ht="15.75" thickBot="1" x14ac:dyDescent="0.3">
      <c r="O166" s="360"/>
      <c r="P166" s="360"/>
      <c r="Q166" s="360"/>
      <c r="R166" s="360"/>
      <c r="S166" s="360"/>
      <c r="T166" s="360"/>
      <c r="U166" s="360"/>
      <c r="V166" s="4" t="s">
        <v>151</v>
      </c>
      <c r="W166" s="4" t="s">
        <v>152</v>
      </c>
    </row>
    <row r="167" spans="1:25" ht="15.75" thickBot="1" x14ac:dyDescent="0.3">
      <c r="C167" s="48"/>
      <c r="O167" s="111">
        <f>Q158</f>
        <v>0</v>
      </c>
      <c r="P167" s="111">
        <f>Q159</f>
        <v>328.78648070283379</v>
      </c>
      <c r="Q167" s="111">
        <f>Q160</f>
        <v>254.81</v>
      </c>
      <c r="R167" s="112">
        <f>Q161</f>
        <v>481.30855283326645</v>
      </c>
      <c r="S167" s="111">
        <f>Q162</f>
        <v>517.64031582892289</v>
      </c>
      <c r="T167" s="111">
        <f>Q163</f>
        <v>0</v>
      </c>
      <c r="U167" s="111">
        <f>R163</f>
        <v>0</v>
      </c>
      <c r="V167" s="113">
        <f>MAX(P157:P163)</f>
        <v>0.16033620568866469</v>
      </c>
      <c r="W167" s="111">
        <f>MAX(O167:T167)</f>
        <v>517.64031582892289</v>
      </c>
    </row>
    <row r="168" spans="1:25" x14ac:dyDescent="0.25">
      <c r="C168" s="48"/>
    </row>
    <row r="169" spans="1:25" s="87" customFormat="1" x14ac:dyDescent="0.25">
      <c r="C169" s="102"/>
    </row>
    <row r="170" spans="1:25" s="87" customFormat="1" x14ac:dyDescent="0.25">
      <c r="C170" s="102"/>
    </row>
    <row r="171" spans="1:25" ht="18.75" x14ac:dyDescent="0.3">
      <c r="B171" s="99" t="s">
        <v>186</v>
      </c>
      <c r="C171" s="48"/>
    </row>
    <row r="172" spans="1:25" ht="15.75" thickBot="1" x14ac:dyDescent="0.3">
      <c r="S172" s="52" t="s">
        <v>187</v>
      </c>
    </row>
    <row r="173" spans="1:25" ht="19.5" thickBot="1" x14ac:dyDescent="0.3">
      <c r="B173" s="355" t="s">
        <v>49</v>
      </c>
      <c r="C173" s="356"/>
      <c r="F173" s="6" t="s">
        <v>62</v>
      </c>
      <c r="G173" s="7">
        <v>5.0999999999999996</v>
      </c>
      <c r="H173" s="5" t="s">
        <v>189</v>
      </c>
      <c r="J173" s="8" t="s">
        <v>105</v>
      </c>
      <c r="M173" s="5" t="s">
        <v>190</v>
      </c>
      <c r="S173" s="100" t="s">
        <v>188</v>
      </c>
    </row>
    <row r="174" spans="1:25" ht="34.5" customHeight="1" thickBot="1" x14ac:dyDescent="0.35">
      <c r="C174" s="357" t="s">
        <v>104</v>
      </c>
      <c r="D174" s="357"/>
      <c r="E174" s="357"/>
      <c r="F174" s="357"/>
      <c r="G174" s="357"/>
      <c r="H174" s="357"/>
      <c r="I174" s="357"/>
      <c r="J174" s="357"/>
      <c r="K174" s="357"/>
      <c r="L174" s="10"/>
      <c r="M174" s="10">
        <v>1.25</v>
      </c>
      <c r="O174" s="99" t="s">
        <v>185</v>
      </c>
      <c r="R174" s="5" t="s">
        <v>193</v>
      </c>
      <c r="S174" s="5" t="s">
        <v>194</v>
      </c>
    </row>
    <row r="175" spans="1:25" ht="63.75" customHeight="1" thickBot="1" x14ac:dyDescent="0.3">
      <c r="B175" s="351" t="s">
        <v>61</v>
      </c>
      <c r="C175" s="351" t="s">
        <v>17</v>
      </c>
      <c r="D175" s="351" t="s">
        <v>18</v>
      </c>
      <c r="E175" s="351" t="s">
        <v>207</v>
      </c>
      <c r="F175" s="351" t="s">
        <v>19</v>
      </c>
      <c r="G175" s="361" t="s">
        <v>28</v>
      </c>
      <c r="H175" s="362"/>
      <c r="I175" s="363"/>
      <c r="J175" s="353" t="s">
        <v>26</v>
      </c>
      <c r="K175" s="354"/>
      <c r="L175" s="358" t="s">
        <v>60</v>
      </c>
      <c r="M175" s="358" t="s">
        <v>35</v>
      </c>
      <c r="O175" s="12" t="s">
        <v>49</v>
      </c>
      <c r="P175" s="13" t="s">
        <v>0</v>
      </c>
      <c r="Q175" s="14" t="s">
        <v>63</v>
      </c>
      <c r="R175" s="11" t="s">
        <v>121</v>
      </c>
      <c r="S175" s="11" t="s">
        <v>122</v>
      </c>
      <c r="T175" s="15" t="s">
        <v>1</v>
      </c>
    </row>
    <row r="176" spans="1:25" ht="25.5" x14ac:dyDescent="0.25">
      <c r="B176" s="352"/>
      <c r="C176" s="352"/>
      <c r="D176" s="352"/>
      <c r="E176" s="364"/>
      <c r="F176" s="352"/>
      <c r="G176" s="16" t="s">
        <v>27</v>
      </c>
      <c r="H176" s="16" t="s">
        <v>29</v>
      </c>
      <c r="I176" s="16" t="s">
        <v>192</v>
      </c>
      <c r="J176" s="16" t="s">
        <v>25</v>
      </c>
      <c r="K176" s="17" t="s">
        <v>24</v>
      </c>
      <c r="L176" s="359"/>
      <c r="M176" s="359"/>
      <c r="O176" s="18" t="s">
        <v>50</v>
      </c>
      <c r="P176" s="19">
        <v>0.15686274509803919</v>
      </c>
      <c r="Q176" s="20">
        <v>2400</v>
      </c>
      <c r="R176" s="21">
        <v>19.7</v>
      </c>
      <c r="S176" s="49">
        <f>R176</f>
        <v>19.7</v>
      </c>
      <c r="T176" s="53" t="s">
        <v>12</v>
      </c>
    </row>
    <row r="177" spans="1:25" ht="30" x14ac:dyDescent="0.25">
      <c r="B177" s="24">
        <v>1</v>
      </c>
      <c r="C177" s="121">
        <v>5.0999999999999996</v>
      </c>
      <c r="D177" s="35">
        <v>0</v>
      </c>
      <c r="E177" s="35"/>
      <c r="F177" s="122" t="s">
        <v>20</v>
      </c>
      <c r="G177" s="123">
        <v>0</v>
      </c>
      <c r="H177" s="122" t="s">
        <v>20</v>
      </c>
      <c r="I177" s="128" t="s">
        <v>188</v>
      </c>
      <c r="J177" s="123"/>
      <c r="K177" s="123">
        <v>0</v>
      </c>
      <c r="L177" s="57">
        <v>3183.41</v>
      </c>
      <c r="M177" s="124">
        <f t="shared" ref="M177:M183" si="34">L177*$M$174</f>
        <v>3979.2624999999998</v>
      </c>
      <c r="O177" s="26" t="s">
        <v>64</v>
      </c>
      <c r="P177" s="26" t="s">
        <v>65</v>
      </c>
      <c r="Q177" s="26" t="s">
        <v>66</v>
      </c>
      <c r="R177" s="26" t="s">
        <v>120</v>
      </c>
      <c r="S177" s="26" t="s">
        <v>123</v>
      </c>
      <c r="T177" s="350" t="s">
        <v>67</v>
      </c>
      <c r="U177" s="350"/>
      <c r="V177" s="350"/>
      <c r="W177" s="350"/>
      <c r="X177" s="350"/>
      <c r="Y177" s="350"/>
    </row>
    <row r="178" spans="1:25" x14ac:dyDescent="0.25">
      <c r="A178" s="139"/>
      <c r="B178" s="24">
        <v>2</v>
      </c>
      <c r="C178" s="27">
        <f t="shared" ref="C178:C183" si="35">ROUND($C$177*(1-D178),2)</f>
        <v>5.0199999999999996</v>
      </c>
      <c r="D178" s="134">
        <f>E178+D177</f>
        <v>1.5487384615384625E-2</v>
      </c>
      <c r="E178" s="50">
        <f xml:space="preserve"> (0.3802*(6.84/6.5)-0.3846)</f>
        <v>1.5487384615384625E-2</v>
      </c>
      <c r="F178" s="135" t="s">
        <v>106</v>
      </c>
      <c r="G178" s="25">
        <v>771.92431362226068</v>
      </c>
      <c r="H178" s="33" t="s">
        <v>30</v>
      </c>
      <c r="I178" s="128" t="s">
        <v>175</v>
      </c>
      <c r="J178" s="133">
        <f>G178*1.05^((LOG(6.84/6.5)/LOG(1.02)))-G178</f>
        <v>103.32246289425166</v>
      </c>
      <c r="K178" s="25">
        <f t="shared" ref="K178:K183" si="36">J178+K177</f>
        <v>103.32246289425166</v>
      </c>
      <c r="L178" s="25">
        <f t="shared" ref="L178:L183" si="37">$L$177+K178</f>
        <v>3286.7324628942515</v>
      </c>
      <c r="M178" s="25">
        <f t="shared" si="34"/>
        <v>4108.4155786178144</v>
      </c>
      <c r="O178" s="28" t="s">
        <v>69</v>
      </c>
      <c r="P178" s="29">
        <v>0</v>
      </c>
      <c r="Q178" s="31">
        <v>0</v>
      </c>
      <c r="R178" s="31">
        <f>M177</f>
        <v>3979.2624999999998</v>
      </c>
      <c r="S178" s="32">
        <f>IF($R$176=$S$176,$S$176,IF(RIGHT(O178)&gt;=RIGHT($S$173),$S$176,$R$176))</f>
        <v>19.7</v>
      </c>
      <c r="T178" s="33"/>
      <c r="U178" s="33"/>
      <c r="V178" s="33"/>
      <c r="W178" s="33"/>
      <c r="X178" s="33"/>
      <c r="Y178" s="33"/>
    </row>
    <row r="179" spans="1:25" x14ac:dyDescent="0.25">
      <c r="A179" s="139"/>
      <c r="B179" s="24">
        <v>3</v>
      </c>
      <c r="C179" s="27">
        <f t="shared" si="35"/>
        <v>4.6500000000000004</v>
      </c>
      <c r="D179" s="50">
        <f t="shared" ref="D179:D183" si="38">E179+D178</f>
        <v>8.7753009615384653E-2</v>
      </c>
      <c r="E179" s="50">
        <v>7.2265625000000028E-2</v>
      </c>
      <c r="F179" s="33" t="s">
        <v>107</v>
      </c>
      <c r="G179" s="25">
        <v>97.33</v>
      </c>
      <c r="H179" s="33" t="s">
        <v>31</v>
      </c>
      <c r="I179" s="128" t="s">
        <v>175</v>
      </c>
      <c r="J179" s="1">
        <v>105.57</v>
      </c>
      <c r="K179" s="25">
        <f t="shared" si="36"/>
        <v>208.89246289425165</v>
      </c>
      <c r="L179" s="25">
        <f t="shared" si="37"/>
        <v>3392.3024628942517</v>
      </c>
      <c r="M179" s="25">
        <f t="shared" si="34"/>
        <v>4240.3780786178149</v>
      </c>
      <c r="O179" s="28" t="s">
        <v>15</v>
      </c>
      <c r="P179" s="29">
        <v>0.09</v>
      </c>
      <c r="Q179" s="31">
        <f>K178+(K179-K178)*(P179-D178)/(D179-D178)</f>
        <v>212.17500248211022</v>
      </c>
      <c r="R179" s="31">
        <f>Q179*$M$174</f>
        <v>265.21875310263778</v>
      </c>
      <c r="S179" s="32">
        <f>IF($R$176=$S$176,$S$176,IF(RIGHT(O179)&gt;=RIGHT($S$173),$S$176,$R$176))</f>
        <v>19.7</v>
      </c>
      <c r="T179" s="2"/>
      <c r="U179" s="2"/>
      <c r="V179" s="33"/>
      <c r="W179" s="33"/>
      <c r="X179" s="33"/>
      <c r="Y179" s="33"/>
    </row>
    <row r="180" spans="1:25" x14ac:dyDescent="0.25">
      <c r="A180" s="139"/>
      <c r="B180" s="24">
        <v>4</v>
      </c>
      <c r="C180" s="27">
        <f t="shared" si="35"/>
        <v>4.5199999999999996</v>
      </c>
      <c r="D180" s="50">
        <f t="shared" si="38"/>
        <v>0.11314363461538463</v>
      </c>
      <c r="E180" s="50">
        <v>2.5390624999999972E-2</v>
      </c>
      <c r="F180" s="33" t="s">
        <v>98</v>
      </c>
      <c r="G180" s="25">
        <f>20.91*2</f>
        <v>41.82</v>
      </c>
      <c r="H180" s="33" t="s">
        <v>33</v>
      </c>
      <c r="I180" s="128" t="s">
        <v>175</v>
      </c>
      <c r="J180" s="1">
        <v>39.36</v>
      </c>
      <c r="K180" s="25">
        <f t="shared" si="36"/>
        <v>248.25246289425166</v>
      </c>
      <c r="L180" s="25">
        <f t="shared" si="37"/>
        <v>3431.6624628942513</v>
      </c>
      <c r="M180" s="25">
        <f t="shared" si="34"/>
        <v>4289.5780786178138</v>
      </c>
      <c r="O180" s="28" t="s">
        <v>2</v>
      </c>
      <c r="P180" s="29">
        <v>0.15</v>
      </c>
      <c r="Q180" s="31">
        <f>K180+(K181-K180)*(P180-D180)/(D181-D180)</f>
        <v>376.76028920809659</v>
      </c>
      <c r="R180" s="31">
        <f>Q180*$M$174</f>
        <v>470.95036151012073</v>
      </c>
      <c r="S180" s="32">
        <f>IF($R$176=$S$176,$S$176,IF(RIGHT(O180)&gt;=RIGHT($S$173),$S$176,$R$176))</f>
        <v>19.7</v>
      </c>
      <c r="T180" s="2"/>
      <c r="U180" s="2"/>
      <c r="V180" s="33"/>
      <c r="W180" s="33"/>
      <c r="X180" s="33"/>
      <c r="Y180" s="33"/>
    </row>
    <row r="181" spans="1:25" x14ac:dyDescent="0.25">
      <c r="A181" s="139"/>
      <c r="B181" s="24">
        <v>5</v>
      </c>
      <c r="C181" s="27">
        <f t="shared" si="35"/>
        <v>4.46</v>
      </c>
      <c r="D181" s="50">
        <f t="shared" si="38"/>
        <v>0.12486238461538474</v>
      </c>
      <c r="E181" s="50">
        <v>1.1718750000000111E-2</v>
      </c>
      <c r="F181" s="179" t="s">
        <v>108</v>
      </c>
      <c r="G181" s="25">
        <v>202.9</v>
      </c>
      <c r="H181" s="33" t="s">
        <v>31</v>
      </c>
      <c r="I181" s="128" t="s">
        <v>175</v>
      </c>
      <c r="J181" s="1">
        <v>40.86</v>
      </c>
      <c r="K181" s="25">
        <f t="shared" si="36"/>
        <v>289.11246289425168</v>
      </c>
      <c r="L181" s="25">
        <f t="shared" si="37"/>
        <v>3472.5224628942515</v>
      </c>
      <c r="M181" s="25">
        <f t="shared" si="34"/>
        <v>4340.6530786178146</v>
      </c>
      <c r="O181" s="28" t="s">
        <v>3</v>
      </c>
      <c r="P181" s="149">
        <v>0.15</v>
      </c>
      <c r="Q181" s="31">
        <f>U181-Y181</f>
        <v>705.32028920809853</v>
      </c>
      <c r="R181" s="31">
        <f>Q181*$M$174</f>
        <v>881.65036151012316</v>
      </c>
      <c r="S181" s="32">
        <f>IF($R$176=$S$176,$S$176,IF(RIGHT(O181)&gt;=RIGHT($S$173),$S$176,$R$176))</f>
        <v>19.7</v>
      </c>
      <c r="T181" s="43">
        <f>D183</f>
        <v>0.17759675961538465</v>
      </c>
      <c r="U181" s="1">
        <f>K183</f>
        <v>801.54246289425168</v>
      </c>
      <c r="V181" s="33"/>
      <c r="W181" s="43">
        <f>T181-P181</f>
        <v>2.7596759615384658E-2</v>
      </c>
      <c r="X181" s="60">
        <f>D181-W181</f>
        <v>9.7265625000000078E-2</v>
      </c>
      <c r="Y181" s="1">
        <f>(K181-K180)-(K181-K180)*(X181-D180)/(D181-D180)</f>
        <v>96.222173686153113</v>
      </c>
    </row>
    <row r="182" spans="1:25" x14ac:dyDescent="0.25">
      <c r="A182" s="139"/>
      <c r="B182" s="24">
        <v>6</v>
      </c>
      <c r="C182" s="27">
        <f t="shared" si="35"/>
        <v>4.3600000000000003</v>
      </c>
      <c r="D182" s="50">
        <f t="shared" si="38"/>
        <v>0.14439363461538465</v>
      </c>
      <c r="E182" s="50">
        <v>1.9531249999999917E-2</v>
      </c>
      <c r="F182" s="33" t="s">
        <v>109</v>
      </c>
      <c r="G182" s="25">
        <f>54.6249693870864*2</f>
        <v>109.2499387741728</v>
      </c>
      <c r="H182" s="33" t="s">
        <v>32</v>
      </c>
      <c r="I182" s="128" t="s">
        <v>175</v>
      </c>
      <c r="J182" s="1">
        <v>92.43</v>
      </c>
      <c r="K182" s="25">
        <f t="shared" si="36"/>
        <v>381.54246289425168</v>
      </c>
      <c r="L182" s="25">
        <f t="shared" si="37"/>
        <v>3564.9524628942518</v>
      </c>
      <c r="M182" s="25">
        <f t="shared" si="34"/>
        <v>4456.1905786178149</v>
      </c>
      <c r="O182" s="28" t="s">
        <v>4</v>
      </c>
      <c r="P182" s="37">
        <f>D183</f>
        <v>0.17759675961538465</v>
      </c>
      <c r="Q182" s="31">
        <f>K183</f>
        <v>801.54246289425168</v>
      </c>
      <c r="R182" s="31">
        <f>Q182*$M$174</f>
        <v>1001.9280786178147</v>
      </c>
      <c r="S182" s="32">
        <f>IF($R$176=$S$176,$S$176,IF(RIGHT(O182)&gt;=RIGHT($S$173),$S$176,$R$176))</f>
        <v>19.7</v>
      </c>
      <c r="T182" s="35"/>
      <c r="U182" s="30"/>
      <c r="V182" s="24"/>
      <c r="W182" s="35"/>
      <c r="X182" s="35"/>
      <c r="Y182" s="61"/>
    </row>
    <row r="183" spans="1:25" x14ac:dyDescent="0.25">
      <c r="A183" s="139"/>
      <c r="B183" s="24">
        <v>7</v>
      </c>
      <c r="C183" s="27">
        <f t="shared" si="35"/>
        <v>4.1900000000000004</v>
      </c>
      <c r="D183" s="50">
        <f t="shared" si="38"/>
        <v>0.17759675961538465</v>
      </c>
      <c r="E183" s="50">
        <v>3.3203125E-2</v>
      </c>
      <c r="F183" s="33" t="s">
        <v>58</v>
      </c>
      <c r="G183" s="1">
        <v>0</v>
      </c>
      <c r="H183" s="33" t="s">
        <v>58</v>
      </c>
      <c r="I183" s="128" t="s">
        <v>176</v>
      </c>
      <c r="J183" s="1">
        <v>420</v>
      </c>
      <c r="K183" s="25">
        <f t="shared" si="36"/>
        <v>801.54246289425168</v>
      </c>
      <c r="L183" s="25">
        <f t="shared" si="37"/>
        <v>3984.9524628942518</v>
      </c>
      <c r="M183" s="25">
        <f t="shared" si="34"/>
        <v>4981.1905786178149</v>
      </c>
      <c r="O183" s="28" t="s">
        <v>5</v>
      </c>
      <c r="P183" s="29"/>
      <c r="Q183" s="30"/>
      <c r="R183" s="30"/>
      <c r="S183" s="32"/>
      <c r="T183" s="35"/>
      <c r="U183" s="30"/>
      <c r="V183" s="24"/>
      <c r="W183" s="35"/>
      <c r="X183" s="35"/>
      <c r="Y183" s="30"/>
    </row>
    <row r="184" spans="1:25" x14ac:dyDescent="0.25">
      <c r="O184" s="28" t="s">
        <v>70</v>
      </c>
      <c r="P184" s="37"/>
      <c r="Q184" s="38"/>
      <c r="R184" s="38"/>
      <c r="S184" s="32"/>
      <c r="T184" s="35"/>
      <c r="U184" s="35"/>
      <c r="V184" s="30"/>
      <c r="W184" s="24"/>
      <c r="X184" s="24"/>
      <c r="Y184" s="24"/>
    </row>
    <row r="186" spans="1:25" ht="19.5" thickBot="1" x14ac:dyDescent="0.35">
      <c r="O186" s="99" t="s">
        <v>184</v>
      </c>
    </row>
    <row r="187" spans="1:25" ht="15.75" thickBot="1" x14ac:dyDescent="0.3">
      <c r="O187" s="360" t="s">
        <v>69</v>
      </c>
      <c r="P187" s="360" t="s">
        <v>15</v>
      </c>
      <c r="Q187" s="360" t="s">
        <v>2</v>
      </c>
      <c r="R187" s="360" t="s">
        <v>3</v>
      </c>
      <c r="S187" s="360" t="s">
        <v>4</v>
      </c>
      <c r="T187" s="360" t="s">
        <v>5</v>
      </c>
      <c r="U187" s="360" t="s">
        <v>70</v>
      </c>
      <c r="V187" s="360" t="s">
        <v>150</v>
      </c>
      <c r="W187" s="360"/>
    </row>
    <row r="188" spans="1:25" ht="15.75" thickBot="1" x14ac:dyDescent="0.3">
      <c r="O188" s="360"/>
      <c r="P188" s="360"/>
      <c r="Q188" s="360"/>
      <c r="R188" s="360"/>
      <c r="S188" s="360"/>
      <c r="T188" s="360"/>
      <c r="U188" s="360"/>
      <c r="V188" s="4" t="s">
        <v>151</v>
      </c>
      <c r="W188" s="4" t="s">
        <v>152</v>
      </c>
    </row>
    <row r="189" spans="1:25" ht="15.75" thickBot="1" x14ac:dyDescent="0.3">
      <c r="O189" s="111">
        <f>Q178</f>
        <v>0</v>
      </c>
      <c r="P189" s="111">
        <f>Q179</f>
        <v>212.17500248211022</v>
      </c>
      <c r="Q189" s="111">
        <f>Q180</f>
        <v>376.76028920809659</v>
      </c>
      <c r="R189" s="112">
        <f>Q181</f>
        <v>705.32028920809853</v>
      </c>
      <c r="S189" s="111">
        <f>Q182</f>
        <v>801.54246289425168</v>
      </c>
      <c r="T189" s="111">
        <f>Q183</f>
        <v>0</v>
      </c>
      <c r="U189" s="111">
        <f>Q184</f>
        <v>0</v>
      </c>
      <c r="V189" s="113">
        <f>MAX(P177:P183)</f>
        <v>0.17759675961538465</v>
      </c>
      <c r="W189" s="111">
        <f>MAX(O189:T189)</f>
        <v>801.54246289425168</v>
      </c>
    </row>
    <row r="190" spans="1:25" x14ac:dyDescent="0.25">
      <c r="C190" s="62"/>
    </row>
    <row r="191" spans="1:25" s="87" customFormat="1" x14ac:dyDescent="0.25">
      <c r="C191" s="102"/>
    </row>
    <row r="192" spans="1:25" s="87" customFormat="1" x14ac:dyDescent="0.25">
      <c r="C192" s="102"/>
    </row>
    <row r="193" spans="2:25" ht="18.75" x14ac:dyDescent="0.3">
      <c r="B193" s="99" t="s">
        <v>186</v>
      </c>
      <c r="C193" s="48"/>
    </row>
    <row r="194" spans="2:25" ht="15.75" thickBot="1" x14ac:dyDescent="0.3">
      <c r="S194" s="52" t="s">
        <v>187</v>
      </c>
    </row>
    <row r="195" spans="2:25" ht="19.5" thickBot="1" x14ac:dyDescent="0.3">
      <c r="B195" s="355" t="s">
        <v>39</v>
      </c>
      <c r="C195" s="356"/>
      <c r="F195" s="6" t="s">
        <v>62</v>
      </c>
      <c r="G195" s="7">
        <f>18-0.0469*Q198</f>
        <v>12.841000000000001</v>
      </c>
      <c r="H195" s="5" t="s">
        <v>189</v>
      </c>
      <c r="J195" s="8" t="s">
        <v>110</v>
      </c>
      <c r="M195" s="5" t="s">
        <v>190</v>
      </c>
      <c r="S195" s="11" t="s">
        <v>5</v>
      </c>
    </row>
    <row r="196" spans="2:25" ht="36" customHeight="1" thickBot="1" x14ac:dyDescent="0.35">
      <c r="C196" s="357" t="s">
        <v>113</v>
      </c>
      <c r="D196" s="357"/>
      <c r="E196" s="357"/>
      <c r="F196" s="357"/>
      <c r="G196" s="357"/>
      <c r="H196" s="357"/>
      <c r="I196" s="357"/>
      <c r="J196" s="357"/>
      <c r="K196" s="357"/>
      <c r="L196" s="10"/>
      <c r="M196" s="10">
        <v>1.25</v>
      </c>
      <c r="O196" s="99" t="s">
        <v>185</v>
      </c>
      <c r="R196" s="5" t="s">
        <v>193</v>
      </c>
      <c r="S196" s="5" t="s">
        <v>194</v>
      </c>
    </row>
    <row r="197" spans="2:25" ht="55.5" customHeight="1" thickBot="1" x14ac:dyDescent="0.3">
      <c r="B197" s="351" t="s">
        <v>61</v>
      </c>
      <c r="C197" s="351" t="s">
        <v>21</v>
      </c>
      <c r="D197" s="351" t="s">
        <v>22</v>
      </c>
      <c r="E197" s="351" t="s">
        <v>207</v>
      </c>
      <c r="F197" s="351" t="s">
        <v>19</v>
      </c>
      <c r="G197" s="361" t="s">
        <v>28</v>
      </c>
      <c r="H197" s="362"/>
      <c r="I197" s="363"/>
      <c r="J197" s="353" t="s">
        <v>26</v>
      </c>
      <c r="K197" s="354"/>
      <c r="L197" s="358" t="s">
        <v>60</v>
      </c>
      <c r="M197" s="358" t="s">
        <v>35</v>
      </c>
      <c r="O197" s="12" t="s">
        <v>14</v>
      </c>
      <c r="P197" s="13" t="s">
        <v>0</v>
      </c>
      <c r="Q197" s="14" t="s">
        <v>63</v>
      </c>
      <c r="R197" s="11" t="s">
        <v>121</v>
      </c>
      <c r="S197" s="11" t="s">
        <v>122</v>
      </c>
      <c r="T197" s="15" t="s">
        <v>1</v>
      </c>
    </row>
    <row r="198" spans="2:25" ht="25.5" x14ac:dyDescent="0.25">
      <c r="B198" s="352"/>
      <c r="C198" s="352"/>
      <c r="D198" s="352"/>
      <c r="E198" s="364"/>
      <c r="F198" s="352"/>
      <c r="G198" s="16" t="s">
        <v>27</v>
      </c>
      <c r="H198" s="16" t="s">
        <v>29</v>
      </c>
      <c r="I198" s="16" t="s">
        <v>192</v>
      </c>
      <c r="J198" s="16" t="s">
        <v>25</v>
      </c>
      <c r="K198" s="17" t="s">
        <v>24</v>
      </c>
      <c r="L198" s="359"/>
      <c r="M198" s="359"/>
      <c r="O198" s="18" t="s">
        <v>8</v>
      </c>
      <c r="P198" s="19">
        <v>0.27</v>
      </c>
      <c r="Q198" s="20">
        <v>110</v>
      </c>
      <c r="R198" s="21">
        <v>34</v>
      </c>
      <c r="S198" s="49">
        <v>20</v>
      </c>
      <c r="T198" s="53" t="s">
        <v>12</v>
      </c>
    </row>
    <row r="199" spans="2:25" ht="30" x14ac:dyDescent="0.25">
      <c r="B199" s="24">
        <v>1</v>
      </c>
      <c r="C199" s="24">
        <v>12.84</v>
      </c>
      <c r="D199" s="35">
        <v>0</v>
      </c>
      <c r="E199" s="35"/>
      <c r="F199" s="122" t="s">
        <v>20</v>
      </c>
      <c r="G199" s="127">
        <v>0</v>
      </c>
      <c r="H199" s="122" t="s">
        <v>20</v>
      </c>
      <c r="I199" s="128" t="s">
        <v>188</v>
      </c>
      <c r="J199" s="123">
        <v>0</v>
      </c>
      <c r="K199" s="123">
        <v>0</v>
      </c>
      <c r="L199" s="51">
        <v>1045.1500000000001</v>
      </c>
      <c r="M199" s="124">
        <f>L199*$M$196</f>
        <v>1306.4375</v>
      </c>
      <c r="O199" s="26" t="s">
        <v>64</v>
      </c>
      <c r="P199" s="26" t="s">
        <v>65</v>
      </c>
      <c r="Q199" s="26" t="s">
        <v>66</v>
      </c>
      <c r="R199" s="26" t="s">
        <v>120</v>
      </c>
      <c r="S199" s="26" t="s">
        <v>123</v>
      </c>
      <c r="T199" s="350" t="s">
        <v>67</v>
      </c>
      <c r="U199" s="350"/>
      <c r="V199" s="350"/>
      <c r="W199" s="350"/>
      <c r="X199" s="350"/>
      <c r="Y199" s="350"/>
    </row>
    <row r="200" spans="2:25" ht="15.75" customHeight="1" x14ac:dyDescent="0.25">
      <c r="B200" s="24">
        <v>2</v>
      </c>
      <c r="C200" s="27">
        <f>ROUND($C$199*(1-D200),2)</f>
        <v>12.45</v>
      </c>
      <c r="D200" s="50">
        <v>3.0697674418604659E-2</v>
      </c>
      <c r="E200" s="50"/>
      <c r="F200" s="33" t="s">
        <v>54</v>
      </c>
      <c r="G200" s="25">
        <v>11.76</v>
      </c>
      <c r="H200" s="33" t="s">
        <v>32</v>
      </c>
      <c r="I200" s="128" t="s">
        <v>175</v>
      </c>
      <c r="J200" s="25">
        <v>7.58</v>
      </c>
      <c r="K200" s="25">
        <f>J200+K199</f>
        <v>7.58</v>
      </c>
      <c r="L200" s="25">
        <f>$L$199+K200</f>
        <v>1052.73</v>
      </c>
      <c r="M200" s="25">
        <f t="shared" ref="M200:M206" si="39">L200*$M$196</f>
        <v>1315.9124999999999</v>
      </c>
      <c r="O200" s="28" t="s">
        <v>69</v>
      </c>
      <c r="P200" s="29">
        <v>0</v>
      </c>
      <c r="Q200" s="30"/>
      <c r="R200" s="31">
        <f>M199</f>
        <v>1306.4375</v>
      </c>
      <c r="S200" s="32">
        <f t="shared" ref="S200:S206" si="40">IF($R$198=$S$198,$S$198,IF(RIGHT(O200)&gt;=RIGHT($S$195),$S$198,$R$198))</f>
        <v>34</v>
      </c>
      <c r="T200" s="33"/>
      <c r="U200" s="33"/>
      <c r="V200" s="33"/>
      <c r="W200" s="33"/>
      <c r="X200" s="33"/>
      <c r="Y200" s="33"/>
    </row>
    <row r="201" spans="2:25" x14ac:dyDescent="0.25">
      <c r="B201" s="24">
        <v>3</v>
      </c>
      <c r="C201" s="27">
        <f t="shared" ref="C201:C206" si="41">ROUND($C$199*(1-D201),2)</f>
        <v>11.73</v>
      </c>
      <c r="D201" s="50">
        <v>8.6511627906976724E-2</v>
      </c>
      <c r="E201" s="50"/>
      <c r="F201" s="33" t="s">
        <v>111</v>
      </c>
      <c r="G201" s="25">
        <v>39.08</v>
      </c>
      <c r="H201" s="33" t="s">
        <v>31</v>
      </c>
      <c r="I201" s="128" t="s">
        <v>175</v>
      </c>
      <c r="J201" s="25">
        <v>9.82</v>
      </c>
      <c r="K201" s="25">
        <f t="shared" ref="K201:K206" si="42">J201+K200</f>
        <v>17.399999999999999</v>
      </c>
      <c r="L201" s="25">
        <f t="shared" ref="L201:L206" si="43">$L$199+K201</f>
        <v>1062.5500000000002</v>
      </c>
      <c r="M201" s="25">
        <f t="shared" si="39"/>
        <v>1328.1875000000002</v>
      </c>
      <c r="O201" s="28" t="s">
        <v>15</v>
      </c>
      <c r="P201" s="29">
        <v>7.0000000000000007E-2</v>
      </c>
      <c r="Q201" s="30">
        <f>K200+(K201-K200)*(P201-D200)/(D201-D200)</f>
        <v>14.494916666666668</v>
      </c>
      <c r="R201" s="31">
        <f t="shared" ref="R201:R206" si="44">Q201*$M$196</f>
        <v>18.118645833333336</v>
      </c>
      <c r="S201" s="32">
        <f t="shared" si="40"/>
        <v>34</v>
      </c>
      <c r="T201" s="2"/>
      <c r="U201" s="2"/>
      <c r="V201" s="33"/>
      <c r="W201" s="33"/>
      <c r="X201" s="33"/>
      <c r="Y201" s="33"/>
    </row>
    <row r="202" spans="2:25" x14ac:dyDescent="0.25">
      <c r="B202" s="24">
        <v>4</v>
      </c>
      <c r="C202" s="27">
        <f t="shared" si="41"/>
        <v>9.2200000000000006</v>
      </c>
      <c r="D202" s="50">
        <v>0.2818604651162791</v>
      </c>
      <c r="E202" s="50"/>
      <c r="F202" s="33" t="s">
        <v>112</v>
      </c>
      <c r="G202" s="25">
        <v>193.7</v>
      </c>
      <c r="H202" s="33" t="s">
        <v>30</v>
      </c>
      <c r="I202" s="128" t="s">
        <v>175</v>
      </c>
      <c r="J202" s="133">
        <f>G202*1.05^((LOG(4.4/3.3)/LOG(1.02)))-G202</f>
        <v>199.81068173795541</v>
      </c>
      <c r="K202" s="25">
        <f t="shared" si="42"/>
        <v>217.21068173795541</v>
      </c>
      <c r="L202" s="25">
        <f t="shared" si="43"/>
        <v>1262.3606817379555</v>
      </c>
      <c r="M202" s="25">
        <f t="shared" si="39"/>
        <v>1577.9508521724442</v>
      </c>
      <c r="O202" s="28" t="s">
        <v>2</v>
      </c>
      <c r="P202" s="29">
        <v>0.15</v>
      </c>
      <c r="Q202" s="30">
        <f>K201+(K202-K201)*(P202-D201)/(D202-D201)</f>
        <v>82.338471564835515</v>
      </c>
      <c r="R202" s="31">
        <f t="shared" si="44"/>
        <v>102.92308945604439</v>
      </c>
      <c r="S202" s="32">
        <f t="shared" si="40"/>
        <v>34</v>
      </c>
      <c r="T202" s="2"/>
      <c r="U202" s="2"/>
      <c r="V202" s="33"/>
      <c r="W202" s="33"/>
      <c r="X202" s="33"/>
      <c r="Y202" s="33"/>
    </row>
    <row r="203" spans="2:25" x14ac:dyDescent="0.25">
      <c r="B203" s="24">
        <v>5</v>
      </c>
      <c r="C203" s="27">
        <f t="shared" si="41"/>
        <v>8.8000000000000007</v>
      </c>
      <c r="D203" s="50">
        <v>0.31441860465116278</v>
      </c>
      <c r="E203" s="50"/>
      <c r="F203" s="33" t="s">
        <v>74</v>
      </c>
      <c r="G203" s="25">
        <v>0</v>
      </c>
      <c r="H203" s="33" t="s">
        <v>75</v>
      </c>
      <c r="I203" s="128" t="s">
        <v>176</v>
      </c>
      <c r="J203" s="25">
        <v>30</v>
      </c>
      <c r="K203" s="25">
        <f t="shared" si="42"/>
        <v>247.21068173795541</v>
      </c>
      <c r="L203" s="25">
        <f t="shared" si="43"/>
        <v>1292.3606817379555</v>
      </c>
      <c r="M203" s="25">
        <f t="shared" si="39"/>
        <v>1615.4508521724442</v>
      </c>
      <c r="O203" s="28" t="s">
        <v>3</v>
      </c>
      <c r="P203" s="29">
        <v>0.2</v>
      </c>
      <c r="Q203" s="30">
        <f>K201+(K202-K201)*(P203-D201)/(D202-D201)</f>
        <v>133.48049129538362</v>
      </c>
      <c r="R203" s="31">
        <f t="shared" si="44"/>
        <v>166.85061411922953</v>
      </c>
      <c r="S203" s="32">
        <f t="shared" si="40"/>
        <v>34</v>
      </c>
      <c r="T203" s="58"/>
      <c r="U203" s="1"/>
      <c r="V203" s="33"/>
      <c r="W203" s="58"/>
      <c r="X203" s="58"/>
      <c r="Y203" s="1"/>
    </row>
    <row r="204" spans="2:25" x14ac:dyDescent="0.25">
      <c r="B204" s="24">
        <v>6</v>
      </c>
      <c r="C204" s="27">
        <f t="shared" si="41"/>
        <v>8.35</v>
      </c>
      <c r="D204" s="50">
        <v>0.3497674418604651</v>
      </c>
      <c r="E204" s="50"/>
      <c r="F204" s="33" t="s">
        <v>57</v>
      </c>
      <c r="G204" s="25">
        <v>14.61</v>
      </c>
      <c r="H204" s="33" t="s">
        <v>33</v>
      </c>
      <c r="I204" s="128" t="s">
        <v>176</v>
      </c>
      <c r="J204" s="25">
        <v>21.17</v>
      </c>
      <c r="K204" s="25">
        <f t="shared" si="42"/>
        <v>268.3806817379554</v>
      </c>
      <c r="L204" s="25">
        <f t="shared" si="43"/>
        <v>1313.5306817379555</v>
      </c>
      <c r="M204" s="25">
        <f t="shared" si="39"/>
        <v>1641.9133521724443</v>
      </c>
      <c r="O204" s="28" t="s">
        <v>4</v>
      </c>
      <c r="P204" s="29">
        <v>0.25</v>
      </c>
      <c r="Q204" s="30">
        <f>K201+(K202-K201)*(P204-D201)/(D202-D201)</f>
        <v>184.62251102593171</v>
      </c>
      <c r="R204" s="31">
        <f t="shared" si="44"/>
        <v>230.77813878241466</v>
      </c>
      <c r="S204" s="32">
        <f t="shared" si="40"/>
        <v>34</v>
      </c>
      <c r="T204" s="35"/>
      <c r="U204" s="30"/>
      <c r="V204" s="24"/>
      <c r="W204" s="35"/>
      <c r="X204" s="35"/>
      <c r="Y204" s="61"/>
    </row>
    <row r="205" spans="2:25" x14ac:dyDescent="0.25">
      <c r="B205" s="24">
        <v>7</v>
      </c>
      <c r="C205" s="27">
        <f t="shared" si="41"/>
        <v>8.1</v>
      </c>
      <c r="D205" s="50">
        <v>0.36930232558139531</v>
      </c>
      <c r="E205" s="50"/>
      <c r="F205" s="33" t="s">
        <v>55</v>
      </c>
      <c r="G205" s="25">
        <v>19.329999999999998</v>
      </c>
      <c r="H205" s="33" t="s">
        <v>32</v>
      </c>
      <c r="I205" s="128" t="s">
        <v>176</v>
      </c>
      <c r="J205" s="25">
        <v>15.41</v>
      </c>
      <c r="K205" s="25">
        <f t="shared" si="42"/>
        <v>283.79068173795542</v>
      </c>
      <c r="L205" s="25">
        <f t="shared" si="43"/>
        <v>1328.9406817379554</v>
      </c>
      <c r="M205" s="25">
        <f t="shared" si="39"/>
        <v>1661.1758521724441</v>
      </c>
      <c r="O205" s="28" t="s">
        <v>5</v>
      </c>
      <c r="P205" s="29">
        <v>0.3</v>
      </c>
      <c r="Q205" s="51">
        <f>ROUND(U205-Y205,2)</f>
        <v>232.46</v>
      </c>
      <c r="R205" s="31">
        <f t="shared" si="44"/>
        <v>290.57499999999999</v>
      </c>
      <c r="S205" s="32">
        <f t="shared" si="40"/>
        <v>20</v>
      </c>
      <c r="T205" s="35">
        <f>D203</f>
        <v>0.31441860465116278</v>
      </c>
      <c r="U205" s="31">
        <f>K203</f>
        <v>247.21068173795541</v>
      </c>
      <c r="V205" s="24"/>
      <c r="W205" s="35">
        <f>T205-P205</f>
        <v>1.4418604651162792E-2</v>
      </c>
      <c r="X205" s="35">
        <f>D202-W205</f>
        <v>0.26744186046511631</v>
      </c>
      <c r="Y205" s="30">
        <f>(K202-K201)-(K202-K201)*(X205-D201)/(D202-D201)</f>
        <v>14.747931271134803</v>
      </c>
    </row>
    <row r="206" spans="2:25" x14ac:dyDescent="0.25">
      <c r="B206" s="24">
        <v>8</v>
      </c>
      <c r="C206" s="27">
        <f t="shared" si="41"/>
        <v>7.79</v>
      </c>
      <c r="D206" s="50">
        <v>0.39348837209302329</v>
      </c>
      <c r="E206" s="50"/>
      <c r="F206" s="33" t="s">
        <v>58</v>
      </c>
      <c r="G206" s="25">
        <v>0</v>
      </c>
      <c r="H206" s="33" t="s">
        <v>58</v>
      </c>
      <c r="I206" s="128" t="s">
        <v>176</v>
      </c>
      <c r="J206" s="25">
        <v>210</v>
      </c>
      <c r="K206" s="25">
        <f t="shared" si="42"/>
        <v>493.79068173795542</v>
      </c>
      <c r="L206" s="25">
        <f t="shared" si="43"/>
        <v>1538.9406817379554</v>
      </c>
      <c r="M206" s="25">
        <f t="shared" si="39"/>
        <v>1923.6758521724441</v>
      </c>
      <c r="O206" s="28" t="s">
        <v>70</v>
      </c>
      <c r="P206" s="37">
        <f>D206</f>
        <v>0.39348837209302329</v>
      </c>
      <c r="Q206" s="38">
        <f>K206</f>
        <v>493.79068173795542</v>
      </c>
      <c r="R206" s="31">
        <f t="shared" si="44"/>
        <v>617.23835217244425</v>
      </c>
      <c r="S206" s="32">
        <f t="shared" si="40"/>
        <v>20</v>
      </c>
      <c r="T206" s="35"/>
      <c r="U206" s="35"/>
      <c r="V206" s="30"/>
      <c r="W206" s="24"/>
      <c r="X206" s="24"/>
      <c r="Y206" s="24"/>
    </row>
    <row r="208" spans="2:25" ht="19.5" thickBot="1" x14ac:dyDescent="0.35">
      <c r="O208" s="99" t="s">
        <v>184</v>
      </c>
    </row>
    <row r="209" spans="2:25" ht="15.75" thickBot="1" x14ac:dyDescent="0.3">
      <c r="O209" s="360" t="s">
        <v>69</v>
      </c>
      <c r="P209" s="360" t="s">
        <v>15</v>
      </c>
      <c r="Q209" s="360" t="s">
        <v>2</v>
      </c>
      <c r="R209" s="360" t="s">
        <v>3</v>
      </c>
      <c r="S209" s="360" t="s">
        <v>4</v>
      </c>
      <c r="T209" s="360" t="s">
        <v>5</v>
      </c>
      <c r="U209" s="360" t="s">
        <v>70</v>
      </c>
      <c r="V209" s="360" t="s">
        <v>150</v>
      </c>
      <c r="W209" s="360"/>
    </row>
    <row r="210" spans="2:25" ht="15.75" thickBot="1" x14ac:dyDescent="0.3">
      <c r="O210" s="360"/>
      <c r="P210" s="360"/>
      <c r="Q210" s="360"/>
      <c r="R210" s="360"/>
      <c r="S210" s="360"/>
      <c r="T210" s="360"/>
      <c r="U210" s="360"/>
      <c r="V210" s="4" t="s">
        <v>151</v>
      </c>
      <c r="W210" s="4" t="s">
        <v>152</v>
      </c>
    </row>
    <row r="211" spans="2:25" ht="15.75" thickBot="1" x14ac:dyDescent="0.3">
      <c r="O211" s="111">
        <f>Q200</f>
        <v>0</v>
      </c>
      <c r="P211" s="111">
        <f>Q201</f>
        <v>14.494916666666668</v>
      </c>
      <c r="Q211" s="111">
        <f>Q202</f>
        <v>82.338471564835515</v>
      </c>
      <c r="R211" s="112">
        <f>Q203</f>
        <v>133.48049129538362</v>
      </c>
      <c r="S211" s="111">
        <f>Q204</f>
        <v>184.62251102593171</v>
      </c>
      <c r="T211" s="111">
        <f>Q205</f>
        <v>232.46</v>
      </c>
      <c r="U211" s="111">
        <f>Q206</f>
        <v>493.79068173795542</v>
      </c>
      <c r="V211" s="113">
        <f>MAX(P200:P206)</f>
        <v>0.39348837209302329</v>
      </c>
      <c r="W211" s="111">
        <f>MAX(O211:U211)</f>
        <v>493.79068173795542</v>
      </c>
    </row>
    <row r="212" spans="2:25" x14ac:dyDescent="0.25">
      <c r="B212" s="47"/>
      <c r="C212" s="62"/>
    </row>
    <row r="213" spans="2:25" s="87" customFormat="1" x14ac:dyDescent="0.25">
      <c r="B213" s="101"/>
      <c r="C213" s="107"/>
    </row>
    <row r="214" spans="2:25" s="87" customFormat="1" x14ac:dyDescent="0.25">
      <c r="C214" s="102"/>
    </row>
    <row r="215" spans="2:25" ht="18.75" x14ac:dyDescent="0.3">
      <c r="B215" s="99" t="s">
        <v>186</v>
      </c>
      <c r="C215" s="48"/>
    </row>
    <row r="216" spans="2:25" ht="15.75" thickBot="1" x14ac:dyDescent="0.3">
      <c r="C216" s="48"/>
      <c r="S216" s="52" t="s">
        <v>187</v>
      </c>
    </row>
    <row r="217" spans="2:25" ht="19.5" thickBot="1" x14ac:dyDescent="0.3">
      <c r="B217" s="355" t="s">
        <v>40</v>
      </c>
      <c r="C217" s="356"/>
      <c r="F217" s="6" t="s">
        <v>62</v>
      </c>
      <c r="G217" s="7">
        <v>9.8000000000000007</v>
      </c>
      <c r="H217" s="5" t="s">
        <v>189</v>
      </c>
      <c r="J217" s="8" t="s">
        <v>114</v>
      </c>
      <c r="M217" s="5" t="s">
        <v>190</v>
      </c>
      <c r="S217" s="11" t="s">
        <v>3</v>
      </c>
    </row>
    <row r="218" spans="2:25" ht="19.5" thickBot="1" x14ac:dyDescent="0.35">
      <c r="C218" s="357" t="s">
        <v>115</v>
      </c>
      <c r="D218" s="357"/>
      <c r="E218" s="357"/>
      <c r="F218" s="357"/>
      <c r="G218" s="357"/>
      <c r="H218" s="357"/>
      <c r="I218" s="357"/>
      <c r="J218" s="357"/>
      <c r="K218" s="357"/>
      <c r="L218" s="10"/>
      <c r="M218" s="10">
        <v>1.25</v>
      </c>
      <c r="O218" s="99" t="s">
        <v>185</v>
      </c>
      <c r="R218" s="5" t="s">
        <v>193</v>
      </c>
      <c r="S218" s="5" t="s">
        <v>194</v>
      </c>
    </row>
    <row r="219" spans="2:25" ht="45.75" thickBot="1" x14ac:dyDescent="0.3">
      <c r="B219" s="351" t="s">
        <v>61</v>
      </c>
      <c r="C219" s="351" t="s">
        <v>21</v>
      </c>
      <c r="D219" s="351" t="s">
        <v>22</v>
      </c>
      <c r="E219" s="351" t="s">
        <v>207</v>
      </c>
      <c r="F219" s="351" t="s">
        <v>19</v>
      </c>
      <c r="G219" s="361" t="s">
        <v>28</v>
      </c>
      <c r="H219" s="362"/>
      <c r="I219" s="363"/>
      <c r="J219" s="353" t="s">
        <v>26</v>
      </c>
      <c r="K219" s="354"/>
      <c r="L219" s="358" t="s">
        <v>60</v>
      </c>
      <c r="M219" s="358" t="s">
        <v>35</v>
      </c>
      <c r="O219" s="12" t="s">
        <v>14</v>
      </c>
      <c r="P219" s="13" t="s">
        <v>0</v>
      </c>
      <c r="Q219" s="14" t="s">
        <v>63</v>
      </c>
      <c r="R219" s="11" t="s">
        <v>121</v>
      </c>
      <c r="S219" s="11" t="s">
        <v>122</v>
      </c>
      <c r="T219" s="15" t="s">
        <v>1</v>
      </c>
    </row>
    <row r="220" spans="2:25" ht="25.5" x14ac:dyDescent="0.25">
      <c r="B220" s="352"/>
      <c r="C220" s="352"/>
      <c r="D220" s="352"/>
      <c r="E220" s="364"/>
      <c r="F220" s="352"/>
      <c r="G220" s="16" t="s">
        <v>27</v>
      </c>
      <c r="H220" s="16" t="s">
        <v>29</v>
      </c>
      <c r="I220" s="16" t="s">
        <v>192</v>
      </c>
      <c r="J220" s="16" t="s">
        <v>25</v>
      </c>
      <c r="K220" s="17" t="s">
        <v>24</v>
      </c>
      <c r="L220" s="359"/>
      <c r="M220" s="359"/>
      <c r="O220" s="18" t="s">
        <v>10</v>
      </c>
      <c r="P220" s="19">
        <v>0.26428571428571435</v>
      </c>
      <c r="Q220" s="20">
        <v>200</v>
      </c>
      <c r="R220" s="21">
        <v>30</v>
      </c>
      <c r="S220" s="49">
        <v>20</v>
      </c>
      <c r="T220" s="53" t="s">
        <v>12</v>
      </c>
    </row>
    <row r="221" spans="2:25" ht="30" x14ac:dyDescent="0.25">
      <c r="B221" s="24">
        <v>1</v>
      </c>
      <c r="C221" s="27">
        <v>9.8000000000000007</v>
      </c>
      <c r="D221" s="50">
        <v>0</v>
      </c>
      <c r="E221" s="50"/>
      <c r="F221" s="33" t="s">
        <v>20</v>
      </c>
      <c r="G221" s="1">
        <v>0</v>
      </c>
      <c r="H221" s="33" t="s">
        <v>20</v>
      </c>
      <c r="I221" s="128" t="s">
        <v>188</v>
      </c>
      <c r="J221" s="1">
        <v>0</v>
      </c>
      <c r="K221" s="1">
        <v>0</v>
      </c>
      <c r="L221" s="51">
        <v>1114.7900000000002</v>
      </c>
      <c r="M221" s="25">
        <f t="shared" ref="M221:M228" si="45">L221*$M$218</f>
        <v>1393.4875000000002</v>
      </c>
      <c r="O221" s="26" t="s">
        <v>64</v>
      </c>
      <c r="P221" s="26" t="s">
        <v>65</v>
      </c>
      <c r="Q221" s="26" t="s">
        <v>66</v>
      </c>
      <c r="R221" s="26" t="s">
        <v>120</v>
      </c>
      <c r="S221" s="26" t="s">
        <v>123</v>
      </c>
      <c r="T221" s="350" t="s">
        <v>67</v>
      </c>
      <c r="U221" s="350"/>
      <c r="V221" s="350"/>
      <c r="W221" s="350"/>
      <c r="X221" s="350"/>
      <c r="Y221" s="350"/>
    </row>
    <row r="222" spans="2:25" ht="15.75" customHeight="1" x14ac:dyDescent="0.25">
      <c r="B222" s="24">
        <v>2</v>
      </c>
      <c r="C222" s="27">
        <f>ROUND($C$221*(1-D222),2)</f>
        <v>8.43</v>
      </c>
      <c r="D222" s="50">
        <v>0.14022517911975427</v>
      </c>
      <c r="E222" s="50"/>
      <c r="F222" s="33" t="s">
        <v>139</v>
      </c>
      <c r="G222" s="25">
        <v>304.72000000000003</v>
      </c>
      <c r="H222" s="33" t="s">
        <v>30</v>
      </c>
      <c r="I222" s="128" t="s">
        <v>175</v>
      </c>
      <c r="J222" s="133">
        <f>G222*1.05^((LOG(5.2/4.38)/LOG(1.02)))-G222</f>
        <v>160.36012633399338</v>
      </c>
      <c r="K222" s="25">
        <f t="shared" ref="K222:K228" si="46">J222+K221</f>
        <v>160.36012633399338</v>
      </c>
      <c r="L222" s="46">
        <f t="shared" ref="L222:L228" si="47">$L$221+K222</f>
        <v>1275.1501263339935</v>
      </c>
      <c r="M222" s="25">
        <f t="shared" si="45"/>
        <v>1593.9376579174918</v>
      </c>
      <c r="O222" s="28" t="s">
        <v>69</v>
      </c>
      <c r="P222" s="29">
        <v>0</v>
      </c>
      <c r="Q222" s="30"/>
      <c r="R222" s="31">
        <f>M221</f>
        <v>1393.4875000000002</v>
      </c>
      <c r="S222" s="32">
        <v>30</v>
      </c>
      <c r="T222" s="2"/>
      <c r="U222" s="2"/>
      <c r="V222" s="33"/>
      <c r="W222" s="33"/>
      <c r="X222" s="63"/>
      <c r="Y222" s="33"/>
    </row>
    <row r="223" spans="2:25" x14ac:dyDescent="0.25">
      <c r="B223" s="24">
        <v>3</v>
      </c>
      <c r="C223" s="27">
        <f t="shared" ref="C223:C228" si="48">ROUND($C$221*(1-D223),2)</f>
        <v>7.88</v>
      </c>
      <c r="D223" s="50">
        <v>0.19549641760491293</v>
      </c>
      <c r="E223" s="50"/>
      <c r="F223" s="33" t="s">
        <v>116</v>
      </c>
      <c r="G223" s="25">
        <v>46.22</v>
      </c>
      <c r="H223" s="33" t="s">
        <v>31</v>
      </c>
      <c r="I223" s="128" t="s">
        <v>175</v>
      </c>
      <c r="J223" s="25">
        <v>12.05</v>
      </c>
      <c r="K223" s="25">
        <f t="shared" si="46"/>
        <v>172.41012633399339</v>
      </c>
      <c r="L223" s="46">
        <f t="shared" si="47"/>
        <v>1287.2001263339935</v>
      </c>
      <c r="M223" s="25">
        <f t="shared" si="45"/>
        <v>1609.0001579174918</v>
      </c>
      <c r="O223" s="28" t="s">
        <v>15</v>
      </c>
      <c r="P223" s="29">
        <v>7.0000000000000007E-2</v>
      </c>
      <c r="Q223" s="30">
        <f>K221+(K222-K221)*(P223-D221)/(D222-D221)</f>
        <v>80.051306861181132</v>
      </c>
      <c r="R223" s="31">
        <f t="shared" ref="R223:R228" si="49">Q223*$M$218</f>
        <v>100.06413357647642</v>
      </c>
      <c r="S223" s="32">
        <v>30</v>
      </c>
      <c r="T223" s="2"/>
      <c r="U223" s="2"/>
      <c r="V223" s="33"/>
      <c r="W223" s="33"/>
      <c r="X223" s="33"/>
      <c r="Y223" s="33"/>
    </row>
    <row r="224" spans="2:25" x14ac:dyDescent="0.25">
      <c r="B224" s="24">
        <v>4</v>
      </c>
      <c r="C224" s="27">
        <f t="shared" si="48"/>
        <v>7.31</v>
      </c>
      <c r="D224" s="50">
        <v>0.25383828045035822</v>
      </c>
      <c r="E224" s="50"/>
      <c r="F224" s="33" t="s">
        <v>74</v>
      </c>
      <c r="G224" s="25">
        <v>0</v>
      </c>
      <c r="H224" s="33" t="s">
        <v>75</v>
      </c>
      <c r="I224" s="128" t="s">
        <v>176</v>
      </c>
      <c r="J224" s="25">
        <v>30</v>
      </c>
      <c r="K224" s="25">
        <f t="shared" si="46"/>
        <v>202.41012633399339</v>
      </c>
      <c r="L224" s="46">
        <f t="shared" si="47"/>
        <v>1317.2001263339935</v>
      </c>
      <c r="M224" s="25">
        <f t="shared" si="45"/>
        <v>1646.5001579174918</v>
      </c>
      <c r="O224" s="28" t="s">
        <v>2</v>
      </c>
      <c r="P224" s="29">
        <v>0.15</v>
      </c>
      <c r="Q224" s="30">
        <f>K222+(K223-K222)*(P224-D222)/(D223-D222)</f>
        <v>162.49119114880821</v>
      </c>
      <c r="R224" s="31">
        <f t="shared" si="49"/>
        <v>203.11398893601026</v>
      </c>
      <c r="S224" s="32">
        <v>30</v>
      </c>
      <c r="T224" s="2"/>
      <c r="U224" s="2"/>
      <c r="V224" s="33"/>
      <c r="W224" s="33"/>
      <c r="X224" s="33"/>
      <c r="Y224" s="33"/>
    </row>
    <row r="225" spans="2:25" x14ac:dyDescent="0.25">
      <c r="B225" s="24">
        <v>5</v>
      </c>
      <c r="C225" s="27">
        <f t="shared" si="48"/>
        <v>7.08</v>
      </c>
      <c r="D225" s="50">
        <v>0.2773797338792221</v>
      </c>
      <c r="E225" s="50"/>
      <c r="F225" s="33" t="s">
        <v>54</v>
      </c>
      <c r="G225" s="25">
        <v>18.02</v>
      </c>
      <c r="H225" s="33" t="s">
        <v>32</v>
      </c>
      <c r="I225" s="128" t="s">
        <v>175</v>
      </c>
      <c r="J225" s="25">
        <v>12.08</v>
      </c>
      <c r="K225" s="25">
        <f t="shared" si="46"/>
        <v>214.4901263339934</v>
      </c>
      <c r="L225" s="46">
        <f t="shared" si="47"/>
        <v>1329.2801263339936</v>
      </c>
      <c r="M225" s="25">
        <f t="shared" si="45"/>
        <v>1661.600157917492</v>
      </c>
      <c r="O225" s="28" t="s">
        <v>3</v>
      </c>
      <c r="P225" s="29">
        <v>0.2</v>
      </c>
      <c r="Q225" s="30">
        <f>U225-Y225</f>
        <v>190.6725337414008</v>
      </c>
      <c r="R225" s="31">
        <f t="shared" si="49"/>
        <v>238.340667176751</v>
      </c>
      <c r="S225" s="32">
        <v>20</v>
      </c>
      <c r="T225" s="43">
        <f>$D$224</f>
        <v>0.25383828045035822</v>
      </c>
      <c r="U225" s="44">
        <f>$K$224</f>
        <v>202.41012633399339</v>
      </c>
      <c r="V225" s="33"/>
      <c r="W225" s="45">
        <f>T225-P225</f>
        <v>5.3838280450358211E-2</v>
      </c>
      <c r="X225" s="45">
        <f>$D$223-W225</f>
        <v>0.14165813715455472</v>
      </c>
      <c r="Y225" s="1">
        <f>($K$223-$K$222)-($K$223-$K$222)*(X225-$D$222)/($D$223-$D$222)</f>
        <v>11.737592592592595</v>
      </c>
    </row>
    <row r="226" spans="2:25" x14ac:dyDescent="0.25">
      <c r="B226" s="24">
        <v>6</v>
      </c>
      <c r="C226" s="27">
        <f t="shared" si="48"/>
        <v>6.96</v>
      </c>
      <c r="D226" s="50">
        <v>0.28966223132036839</v>
      </c>
      <c r="E226" s="50"/>
      <c r="F226" s="33" t="s">
        <v>55</v>
      </c>
      <c r="G226" s="25">
        <v>30.11</v>
      </c>
      <c r="H226" s="33" t="s">
        <v>32</v>
      </c>
      <c r="I226" s="128" t="s">
        <v>176</v>
      </c>
      <c r="J226" s="25">
        <v>7.7</v>
      </c>
      <c r="K226" s="25">
        <f t="shared" si="46"/>
        <v>222.19012633399339</v>
      </c>
      <c r="L226" s="46">
        <f t="shared" si="47"/>
        <v>1336.9801263339937</v>
      </c>
      <c r="M226" s="25">
        <f t="shared" si="45"/>
        <v>1671.2251579174922</v>
      </c>
      <c r="O226" s="28" t="s">
        <v>4</v>
      </c>
      <c r="P226" s="29">
        <v>0.25</v>
      </c>
      <c r="Q226" s="30">
        <f>U226-Y226</f>
        <v>201.57332077843785</v>
      </c>
      <c r="R226" s="31">
        <f t="shared" si="49"/>
        <v>251.96665097304731</v>
      </c>
      <c r="S226" s="32">
        <v>20</v>
      </c>
      <c r="T226" s="43">
        <f>$D$224</f>
        <v>0.25383828045035822</v>
      </c>
      <c r="U226" s="44">
        <f>$K$224</f>
        <v>202.41012633399339</v>
      </c>
      <c r="V226" s="33"/>
      <c r="W226" s="45">
        <f>T226-P226</f>
        <v>3.8382804503582224E-3</v>
      </c>
      <c r="X226" s="45">
        <f>$D$223-W226</f>
        <v>0.19165813715455471</v>
      </c>
      <c r="Y226" s="1">
        <f>($K$223-$K$222)-($K$223-$K$222)*(X226-$D$222)/($D$223-$D$222)</f>
        <v>0.83680555555555358</v>
      </c>
    </row>
    <row r="227" spans="2:25" x14ac:dyDescent="0.25">
      <c r="B227" s="24">
        <v>7</v>
      </c>
      <c r="C227" s="27">
        <f t="shared" si="48"/>
        <v>6.64</v>
      </c>
      <c r="D227" s="50">
        <v>0.32241555783009207</v>
      </c>
      <c r="E227" s="50"/>
      <c r="F227" s="33" t="s">
        <v>57</v>
      </c>
      <c r="G227" s="1">
        <v>11.76</v>
      </c>
      <c r="H227" s="33" t="s">
        <v>33</v>
      </c>
      <c r="I227" s="128" t="s">
        <v>176</v>
      </c>
      <c r="J227" s="25">
        <v>22.99</v>
      </c>
      <c r="K227" s="25">
        <f t="shared" si="46"/>
        <v>245.1801263339934</v>
      </c>
      <c r="L227" s="46">
        <f t="shared" si="47"/>
        <v>1359.9701263339937</v>
      </c>
      <c r="M227" s="25">
        <f t="shared" si="45"/>
        <v>1699.9626579174922</v>
      </c>
      <c r="O227" s="28" t="s">
        <v>5</v>
      </c>
      <c r="P227" s="29">
        <v>0.3</v>
      </c>
      <c r="Q227" s="30">
        <f>U227-Y227</f>
        <v>240.29318188954895</v>
      </c>
      <c r="R227" s="31">
        <f t="shared" si="49"/>
        <v>300.36647736193618</v>
      </c>
      <c r="S227" s="32">
        <v>20</v>
      </c>
      <c r="T227" s="50">
        <f>D227</f>
        <v>0.32241555783009207</v>
      </c>
      <c r="U227" s="44">
        <f>K227</f>
        <v>245.1801263339934</v>
      </c>
      <c r="V227" s="33"/>
      <c r="W227" s="45">
        <f>T227-P227</f>
        <v>2.2415557830092081E-2</v>
      </c>
      <c r="X227" s="45">
        <f>D223-W227</f>
        <v>0.17308085977482085</v>
      </c>
      <c r="Y227" s="1">
        <f>(K223-K222)-(K223-K222)*(X227-D222)/(D223-D222)</f>
        <v>4.8869444444444392</v>
      </c>
    </row>
    <row r="228" spans="2:25" x14ac:dyDescent="0.25">
      <c r="B228" s="24">
        <v>8</v>
      </c>
      <c r="C228" s="27">
        <f t="shared" si="48"/>
        <v>6.38</v>
      </c>
      <c r="D228" s="50">
        <v>0.34884135107471853</v>
      </c>
      <c r="E228" s="50"/>
      <c r="F228" s="33" t="s">
        <v>58</v>
      </c>
      <c r="G228" s="1">
        <v>0</v>
      </c>
      <c r="H228" s="33" t="s">
        <v>58</v>
      </c>
      <c r="I228" s="128" t="s">
        <v>176</v>
      </c>
      <c r="J228" s="25">
        <v>210</v>
      </c>
      <c r="K228" s="25">
        <f t="shared" si="46"/>
        <v>455.18012633399337</v>
      </c>
      <c r="L228" s="46">
        <f t="shared" si="47"/>
        <v>1569.9701263339934</v>
      </c>
      <c r="M228" s="25">
        <f t="shared" si="45"/>
        <v>1962.4626579174919</v>
      </c>
      <c r="O228" s="28" t="s">
        <v>70</v>
      </c>
      <c r="P228" s="37">
        <f>D228</f>
        <v>0.34884135107471853</v>
      </c>
      <c r="Q228" s="64">
        <f>K228</f>
        <v>455.18012633399337</v>
      </c>
      <c r="R228" s="31">
        <f t="shared" si="49"/>
        <v>568.97515791749174</v>
      </c>
      <c r="S228" s="32">
        <f>IF($R$220=$S$220,$S$220,IF(RIGHT(O228)&gt;=RIGHT($S$217),$S$220,$R$220))</f>
        <v>20</v>
      </c>
      <c r="T228" s="2"/>
      <c r="U228" s="2"/>
      <c r="V228" s="33"/>
      <c r="W228" s="33"/>
      <c r="X228" s="33"/>
      <c r="Y228" s="33"/>
    </row>
    <row r="230" spans="2:25" ht="19.5" thickBot="1" x14ac:dyDescent="0.35">
      <c r="O230" s="99" t="s">
        <v>184</v>
      </c>
    </row>
    <row r="231" spans="2:25" ht="15.75" thickBot="1" x14ac:dyDescent="0.3">
      <c r="O231" s="360" t="s">
        <v>69</v>
      </c>
      <c r="P231" s="360" t="s">
        <v>15</v>
      </c>
      <c r="Q231" s="360" t="s">
        <v>2</v>
      </c>
      <c r="R231" s="360" t="s">
        <v>3</v>
      </c>
      <c r="S231" s="360" t="s">
        <v>4</v>
      </c>
      <c r="T231" s="360" t="s">
        <v>5</v>
      </c>
      <c r="U231" s="360" t="s">
        <v>70</v>
      </c>
      <c r="V231" s="360" t="s">
        <v>150</v>
      </c>
      <c r="W231" s="360"/>
    </row>
    <row r="232" spans="2:25" ht="15.75" thickBot="1" x14ac:dyDescent="0.3">
      <c r="O232" s="360"/>
      <c r="P232" s="360"/>
      <c r="Q232" s="360"/>
      <c r="R232" s="360"/>
      <c r="S232" s="360"/>
      <c r="T232" s="360"/>
      <c r="U232" s="360"/>
      <c r="V232" s="4" t="s">
        <v>151</v>
      </c>
      <c r="W232" s="4" t="s">
        <v>152</v>
      </c>
    </row>
    <row r="233" spans="2:25" ht="15.75" thickBot="1" x14ac:dyDescent="0.3">
      <c r="O233" s="111">
        <f>Q222</f>
        <v>0</v>
      </c>
      <c r="P233" s="111">
        <f>Q223</f>
        <v>80.051306861181132</v>
      </c>
      <c r="Q233" s="111">
        <f>Q224</f>
        <v>162.49119114880821</v>
      </c>
      <c r="R233" s="112">
        <f>Q225</f>
        <v>190.6725337414008</v>
      </c>
      <c r="S233" s="111">
        <f>Q226</f>
        <v>201.57332077843785</v>
      </c>
      <c r="T233" s="111">
        <f>Q227</f>
        <v>240.29318188954895</v>
      </c>
      <c r="U233" s="112">
        <f>Q228</f>
        <v>455.18012633399337</v>
      </c>
      <c r="V233" s="113">
        <f>MAX(P221:P228)</f>
        <v>0.34884135107471853</v>
      </c>
      <c r="W233" s="111">
        <f>MAX(O233:U233)</f>
        <v>455.18012633399337</v>
      </c>
    </row>
    <row r="234" spans="2:25" x14ac:dyDescent="0.25">
      <c r="B234" s="47"/>
      <c r="C234" s="62"/>
    </row>
    <row r="235" spans="2:25" x14ac:dyDescent="0.25">
      <c r="B235" s="47"/>
      <c r="C235" s="62"/>
      <c r="P235" s="66"/>
      <c r="Q235" s="65"/>
    </row>
    <row r="236" spans="2:25" s="87" customFormat="1" x14ac:dyDescent="0.25">
      <c r="B236" s="101"/>
      <c r="C236" s="107"/>
      <c r="P236" s="108"/>
      <c r="Q236" s="109"/>
    </row>
    <row r="237" spans="2:25" s="87" customFormat="1" x14ac:dyDescent="0.25">
      <c r="B237" s="101"/>
      <c r="C237" s="107"/>
      <c r="P237" s="108"/>
      <c r="Q237" s="109"/>
    </row>
    <row r="238" spans="2:25" ht="18.75" x14ac:dyDescent="0.3">
      <c r="B238" s="99" t="s">
        <v>186</v>
      </c>
      <c r="C238" s="62"/>
      <c r="P238" s="66"/>
      <c r="Q238" s="65"/>
    </row>
    <row r="239" spans="2:25" ht="15.75" thickBot="1" x14ac:dyDescent="0.3">
      <c r="C239" s="48"/>
      <c r="S239" s="52" t="s">
        <v>187</v>
      </c>
    </row>
    <row r="240" spans="2:25" ht="19.5" thickBot="1" x14ac:dyDescent="0.3">
      <c r="B240" s="355" t="s">
        <v>38</v>
      </c>
      <c r="C240" s="356"/>
      <c r="F240" s="6" t="s">
        <v>62</v>
      </c>
      <c r="G240" s="7">
        <v>7.6</v>
      </c>
      <c r="H240" s="5" t="s">
        <v>189</v>
      </c>
      <c r="J240" s="8" t="s">
        <v>117</v>
      </c>
      <c r="M240" s="5" t="s">
        <v>190</v>
      </c>
      <c r="S240" s="11" t="s">
        <v>15</v>
      </c>
    </row>
    <row r="241" spans="2:25" ht="32.25" customHeight="1" thickBot="1" x14ac:dyDescent="0.35">
      <c r="C241" s="357" t="s">
        <v>118</v>
      </c>
      <c r="D241" s="357"/>
      <c r="E241" s="357"/>
      <c r="F241" s="357"/>
      <c r="G241" s="357"/>
      <c r="H241" s="357"/>
      <c r="I241" s="357"/>
      <c r="J241" s="357"/>
      <c r="K241" s="357"/>
      <c r="L241" s="10"/>
      <c r="M241" s="10">
        <v>1.25</v>
      </c>
      <c r="O241" s="99" t="s">
        <v>185</v>
      </c>
      <c r="R241" s="5" t="s">
        <v>193</v>
      </c>
      <c r="S241" s="5" t="s">
        <v>194</v>
      </c>
    </row>
    <row r="242" spans="2:25" ht="45.75" thickBot="1" x14ac:dyDescent="0.3">
      <c r="B242" s="351" t="s">
        <v>61</v>
      </c>
      <c r="C242" s="351" t="s">
        <v>17</v>
      </c>
      <c r="D242" s="351" t="s">
        <v>18</v>
      </c>
      <c r="E242" s="351" t="s">
        <v>207</v>
      </c>
      <c r="F242" s="351" t="s">
        <v>19</v>
      </c>
      <c r="G242" s="361" t="s">
        <v>28</v>
      </c>
      <c r="H242" s="362"/>
      <c r="I242" s="363"/>
      <c r="J242" s="353" t="s">
        <v>26</v>
      </c>
      <c r="K242" s="354"/>
      <c r="L242" s="358" t="s">
        <v>60</v>
      </c>
      <c r="M242" s="358" t="s">
        <v>35</v>
      </c>
      <c r="O242" s="12" t="s">
        <v>13</v>
      </c>
      <c r="P242" s="13" t="s">
        <v>0</v>
      </c>
      <c r="Q242" s="14" t="s">
        <v>63</v>
      </c>
      <c r="R242" s="11" t="s">
        <v>121</v>
      </c>
      <c r="S242" s="11" t="s">
        <v>122</v>
      </c>
      <c r="T242" s="15" t="s">
        <v>1</v>
      </c>
    </row>
    <row r="243" spans="2:25" ht="26.25" thickBot="1" x14ac:dyDescent="0.3">
      <c r="B243" s="352"/>
      <c r="C243" s="352"/>
      <c r="D243" s="352"/>
      <c r="E243" s="364"/>
      <c r="F243" s="352"/>
      <c r="G243" s="16" t="s">
        <v>27</v>
      </c>
      <c r="H243" s="16" t="s">
        <v>29</v>
      </c>
      <c r="I243" s="16" t="s">
        <v>192</v>
      </c>
      <c r="J243" s="16" t="s">
        <v>25</v>
      </c>
      <c r="K243" s="17" t="s">
        <v>24</v>
      </c>
      <c r="L243" s="359"/>
      <c r="M243" s="359"/>
      <c r="O243" s="18" t="s">
        <v>10</v>
      </c>
      <c r="P243" s="19">
        <v>0.27631578947368418</v>
      </c>
      <c r="Q243" s="20">
        <v>300</v>
      </c>
      <c r="R243" s="67">
        <v>30</v>
      </c>
      <c r="S243" s="68">
        <v>20</v>
      </c>
      <c r="T243" s="69">
        <v>131.9</v>
      </c>
    </row>
    <row r="244" spans="2:25" ht="30" x14ac:dyDescent="0.25">
      <c r="B244" s="24">
        <v>1</v>
      </c>
      <c r="C244" s="27">
        <v>7.6</v>
      </c>
      <c r="D244" s="50">
        <v>0</v>
      </c>
      <c r="E244" s="50"/>
      <c r="F244" s="33" t="s">
        <v>20</v>
      </c>
      <c r="G244" s="1">
        <v>0</v>
      </c>
      <c r="H244" s="33" t="s">
        <v>20</v>
      </c>
      <c r="I244" s="128" t="s">
        <v>188</v>
      </c>
      <c r="J244" s="1">
        <v>0</v>
      </c>
      <c r="K244" s="1">
        <v>0</v>
      </c>
      <c r="L244" s="54">
        <v>1217.01</v>
      </c>
      <c r="M244" s="2">
        <f t="shared" ref="M244:M249" si="50">L244*$M$241</f>
        <v>1521.2625</v>
      </c>
      <c r="O244" s="26" t="s">
        <v>64</v>
      </c>
      <c r="P244" s="26" t="s">
        <v>65</v>
      </c>
      <c r="Q244" s="26" t="s">
        <v>66</v>
      </c>
      <c r="R244" s="26" t="s">
        <v>120</v>
      </c>
      <c r="S244" s="26" t="s">
        <v>123</v>
      </c>
      <c r="T244" s="350" t="s">
        <v>67</v>
      </c>
      <c r="U244" s="350"/>
      <c r="V244" s="350"/>
      <c r="W244" s="350"/>
      <c r="X244" s="350"/>
      <c r="Y244" s="350"/>
    </row>
    <row r="245" spans="2:25" x14ac:dyDescent="0.25">
      <c r="B245" s="24">
        <v>2</v>
      </c>
      <c r="C245" s="27">
        <f>ROUND($C$244*(1-D245),2)</f>
        <v>7.06</v>
      </c>
      <c r="D245" s="50">
        <v>7.0572569906790866E-2</v>
      </c>
      <c r="E245" s="50"/>
      <c r="F245" s="33" t="s">
        <v>74</v>
      </c>
      <c r="G245" s="25">
        <v>0</v>
      </c>
      <c r="H245" s="33" t="s">
        <v>75</v>
      </c>
      <c r="I245" s="128" t="s">
        <v>176</v>
      </c>
      <c r="J245" s="25">
        <v>30</v>
      </c>
      <c r="K245" s="25">
        <f>J245+K244</f>
        <v>30</v>
      </c>
      <c r="L245" s="25">
        <f>$L$244+K245</f>
        <v>1247.01</v>
      </c>
      <c r="M245" s="2">
        <f t="shared" si="50"/>
        <v>1558.7625</v>
      </c>
      <c r="O245" s="28" t="s">
        <v>69</v>
      </c>
      <c r="P245" s="29">
        <v>0</v>
      </c>
      <c r="Q245" s="30"/>
      <c r="R245" s="31">
        <f>M244</f>
        <v>1521.2625</v>
      </c>
      <c r="S245" s="32">
        <v>30</v>
      </c>
      <c r="T245" s="2"/>
      <c r="U245" s="2"/>
      <c r="V245" s="33"/>
      <c r="W245" s="33"/>
      <c r="X245" s="63"/>
      <c r="Y245" s="33"/>
    </row>
    <row r="246" spans="2:25" x14ac:dyDescent="0.25">
      <c r="B246" s="24">
        <v>3</v>
      </c>
      <c r="C246" s="27">
        <f>ROUND($C$244*(1-D246),2)</f>
        <v>6.61</v>
      </c>
      <c r="D246" s="50">
        <v>0.1304926764314247</v>
      </c>
      <c r="E246" s="50"/>
      <c r="F246" s="33" t="s">
        <v>140</v>
      </c>
      <c r="G246" s="25">
        <v>321.37790215956829</v>
      </c>
      <c r="H246" s="33" t="s">
        <v>30</v>
      </c>
      <c r="I246" s="128" t="s">
        <v>175</v>
      </c>
      <c r="J246" s="133">
        <f>G246*1.05^((LOG(5.25/4.86)/LOG(1.02)))-G246</f>
        <v>67.318773715591021</v>
      </c>
      <c r="K246" s="25">
        <f>J246+K245</f>
        <v>97.318773715591021</v>
      </c>
      <c r="L246" s="25">
        <f>$L$244+K246</f>
        <v>1314.3287737155911</v>
      </c>
      <c r="M246" s="2">
        <f t="shared" si="50"/>
        <v>1642.9109671444889</v>
      </c>
      <c r="O246" s="28" t="s">
        <v>15</v>
      </c>
      <c r="P246" s="29">
        <v>7.0000000000000007E-2</v>
      </c>
      <c r="Q246" s="51">
        <f>K245</f>
        <v>30</v>
      </c>
      <c r="R246" s="31">
        <f t="shared" ref="R246:R251" si="51">Q246*$M$241</f>
        <v>37.5</v>
      </c>
      <c r="S246" s="32">
        <v>20</v>
      </c>
      <c r="T246" s="2"/>
      <c r="U246" s="2"/>
      <c r="V246" s="33"/>
      <c r="W246" s="33"/>
      <c r="X246" s="33"/>
      <c r="Y246" s="33"/>
    </row>
    <row r="247" spans="2:25" x14ac:dyDescent="0.25">
      <c r="B247" s="24">
        <v>4</v>
      </c>
      <c r="C247" s="27">
        <f>ROUND($C$244*(1-D247),2)</f>
        <v>5.76</v>
      </c>
      <c r="D247" s="50">
        <v>0.24234354194407448</v>
      </c>
      <c r="E247" s="50"/>
      <c r="F247" s="33" t="s">
        <v>119</v>
      </c>
      <c r="G247" s="25">
        <v>65.510000000000005</v>
      </c>
      <c r="H247" s="33" t="s">
        <v>31</v>
      </c>
      <c r="I247" s="128" t="s">
        <v>175</v>
      </c>
      <c r="J247" s="25">
        <v>30.51</v>
      </c>
      <c r="K247" s="25">
        <f>J247+K246</f>
        <v>127.82877371559103</v>
      </c>
      <c r="L247" s="25">
        <f>$L$244+K247</f>
        <v>1344.8387737155911</v>
      </c>
      <c r="M247" s="2">
        <f t="shared" si="50"/>
        <v>1681.0484671444888</v>
      </c>
      <c r="O247" s="28" t="s">
        <v>2</v>
      </c>
      <c r="P247" s="29">
        <v>0.15</v>
      </c>
      <c r="Q247" s="30">
        <f>K246+(K247-K246)*(P247-D246)/(D247-D246)</f>
        <v>102.63986300130533</v>
      </c>
      <c r="R247" s="31">
        <f t="shared" si="51"/>
        <v>128.29982875163165</v>
      </c>
      <c r="S247" s="32">
        <v>20</v>
      </c>
      <c r="T247" s="2"/>
      <c r="U247" s="2"/>
      <c r="V247" s="33"/>
      <c r="W247" s="33"/>
      <c r="X247" s="33"/>
      <c r="Y247" s="33"/>
    </row>
    <row r="248" spans="2:25" x14ac:dyDescent="0.25">
      <c r="B248" s="24">
        <v>5</v>
      </c>
      <c r="C248" s="27">
        <f>ROUND($C$244*(1-D248),2)</f>
        <v>5.52</v>
      </c>
      <c r="D248" s="50">
        <v>0.27413162141427316</v>
      </c>
      <c r="E248" s="50"/>
      <c r="F248" s="33" t="s">
        <v>57</v>
      </c>
      <c r="G248" s="25">
        <v>14.35</v>
      </c>
      <c r="H248" s="33" t="s">
        <v>33</v>
      </c>
      <c r="I248" s="128" t="s">
        <v>176</v>
      </c>
      <c r="J248" s="25">
        <v>21.31</v>
      </c>
      <c r="K248" s="25">
        <f>J248+K247</f>
        <v>149.13877371559101</v>
      </c>
      <c r="L248" s="25">
        <f>$L$244+K248</f>
        <v>1366.148773715591</v>
      </c>
      <c r="M248" s="2">
        <f t="shared" si="50"/>
        <v>1707.6859671444888</v>
      </c>
      <c r="O248" s="28" t="s">
        <v>3</v>
      </c>
      <c r="P248" s="29">
        <v>0.2</v>
      </c>
      <c r="Q248" s="30">
        <f>K246+(K247-K246)*(P248-D246)/(D247-D246)</f>
        <v>116.27855942987676</v>
      </c>
      <c r="R248" s="31">
        <f t="shared" si="51"/>
        <v>145.34819928734595</v>
      </c>
      <c r="S248" s="32">
        <v>20</v>
      </c>
      <c r="T248" s="2"/>
      <c r="U248" s="2"/>
      <c r="V248" s="33"/>
      <c r="W248" s="33"/>
      <c r="X248" s="33"/>
      <c r="Y248" s="33"/>
    </row>
    <row r="249" spans="2:25" x14ac:dyDescent="0.25">
      <c r="B249" s="24">
        <v>6</v>
      </c>
      <c r="C249" s="27">
        <f>ROUND($C$244*(1-D249),2)</f>
        <v>5.3</v>
      </c>
      <c r="D249" s="50">
        <v>0.30238725055334598</v>
      </c>
      <c r="E249" s="50"/>
      <c r="F249" s="33" t="s">
        <v>58</v>
      </c>
      <c r="G249" s="1">
        <v>0</v>
      </c>
      <c r="H249" s="33" t="s">
        <v>58</v>
      </c>
      <c r="I249" s="128" t="s">
        <v>176</v>
      </c>
      <c r="J249" s="25">
        <v>210</v>
      </c>
      <c r="K249" s="25">
        <f>J249+K248</f>
        <v>359.13877371559101</v>
      </c>
      <c r="L249" s="25">
        <f>$L$244+K249</f>
        <v>1576.148773715591</v>
      </c>
      <c r="M249" s="2">
        <f t="shared" si="50"/>
        <v>1970.1859671444888</v>
      </c>
      <c r="O249" s="28" t="s">
        <v>4</v>
      </c>
      <c r="P249" s="29">
        <v>0.25</v>
      </c>
      <c r="Q249" s="51">
        <f>U249-Y249</f>
        <v>142.55629653962131</v>
      </c>
      <c r="R249" s="31">
        <f t="shared" si="51"/>
        <v>178.19537067452666</v>
      </c>
      <c r="S249" s="32">
        <v>20</v>
      </c>
      <c r="T249" s="45">
        <f>D248</f>
        <v>0.27413162141427316</v>
      </c>
      <c r="U249" s="25">
        <f>K248</f>
        <v>149.13877371559101</v>
      </c>
      <c r="V249" s="33"/>
      <c r="W249" s="45">
        <f>T249-P249</f>
        <v>2.4131621414273163E-2</v>
      </c>
      <c r="X249" s="45">
        <f>D247-W249</f>
        <v>0.21821192052980132</v>
      </c>
      <c r="Y249" s="1">
        <f>(K247-K246)-(K247-K246)*(X249-D246)/(D247-D246)</f>
        <v>6.5824771759697072</v>
      </c>
    </row>
    <row r="250" spans="2:25" x14ac:dyDescent="0.25">
      <c r="O250" s="28" t="s">
        <v>5</v>
      </c>
      <c r="P250" s="29">
        <v>0.3</v>
      </c>
      <c r="Q250" s="51">
        <f>U250-Y250</f>
        <v>358.48759400367049</v>
      </c>
      <c r="R250" s="31">
        <f t="shared" si="51"/>
        <v>448.1094925045881</v>
      </c>
      <c r="S250" s="32">
        <v>20</v>
      </c>
      <c r="T250" s="45">
        <f>D249</f>
        <v>0.30238725055334598</v>
      </c>
      <c r="U250" s="25">
        <f>K249</f>
        <v>359.13877371559101</v>
      </c>
      <c r="V250" s="33"/>
      <c r="W250" s="45">
        <f>T250-P250</f>
        <v>2.3872505533459876E-3</v>
      </c>
      <c r="X250" s="45">
        <f>D247-W250</f>
        <v>0.23995629139072849</v>
      </c>
      <c r="Y250" s="1">
        <f>(K247-K246)-(K247-K246)*(X250-D246)/(D247-D246)</f>
        <v>0.65117971192050206</v>
      </c>
    </row>
    <row r="251" spans="2:25" x14ac:dyDescent="0.25">
      <c r="O251" s="28" t="s">
        <v>70</v>
      </c>
      <c r="P251" s="37">
        <f>D249</f>
        <v>0.30238725055334598</v>
      </c>
      <c r="Q251" s="38">
        <f>K249</f>
        <v>359.13877371559101</v>
      </c>
      <c r="R251" s="31">
        <f t="shared" si="51"/>
        <v>448.92346714448877</v>
      </c>
      <c r="S251" s="32">
        <v>20</v>
      </c>
      <c r="T251" s="33"/>
      <c r="U251" s="33"/>
      <c r="V251" s="33"/>
      <c r="W251" s="33"/>
      <c r="X251" s="33"/>
      <c r="Y251" s="33"/>
    </row>
    <row r="253" spans="2:25" ht="19.5" thickBot="1" x14ac:dyDescent="0.35">
      <c r="O253" s="99" t="s">
        <v>184</v>
      </c>
    </row>
    <row r="254" spans="2:25" ht="15.75" thickBot="1" x14ac:dyDescent="0.3">
      <c r="O254" s="360" t="s">
        <v>69</v>
      </c>
      <c r="P254" s="360" t="s">
        <v>15</v>
      </c>
      <c r="Q254" s="360" t="s">
        <v>2</v>
      </c>
      <c r="R254" s="360" t="s">
        <v>3</v>
      </c>
      <c r="S254" s="360" t="s">
        <v>4</v>
      </c>
      <c r="T254" s="360" t="s">
        <v>5</v>
      </c>
      <c r="U254" s="360" t="s">
        <v>70</v>
      </c>
      <c r="V254" s="360" t="s">
        <v>150</v>
      </c>
      <c r="W254" s="360"/>
    </row>
    <row r="255" spans="2:25" ht="15.75" thickBot="1" x14ac:dyDescent="0.3">
      <c r="O255" s="360"/>
      <c r="P255" s="360"/>
      <c r="Q255" s="360"/>
      <c r="R255" s="360"/>
      <c r="S255" s="360"/>
      <c r="T255" s="360"/>
      <c r="U255" s="360"/>
      <c r="V255" s="4" t="s">
        <v>151</v>
      </c>
      <c r="W255" s="4" t="s">
        <v>152</v>
      </c>
    </row>
    <row r="256" spans="2:25" ht="15.75" thickBot="1" x14ac:dyDescent="0.3">
      <c r="O256" s="111">
        <f>Q245</f>
        <v>0</v>
      </c>
      <c r="P256" s="111">
        <f>Q246</f>
        <v>30</v>
      </c>
      <c r="Q256" s="111">
        <f>Q247</f>
        <v>102.63986300130533</v>
      </c>
      <c r="R256" s="112">
        <f>Q248</f>
        <v>116.27855942987676</v>
      </c>
      <c r="S256" s="111">
        <f>Q249</f>
        <v>142.55629653962131</v>
      </c>
      <c r="T256" s="111">
        <f>Q250</f>
        <v>358.48759400367049</v>
      </c>
      <c r="U256" s="111">
        <f>Q251</f>
        <v>359.13877371559101</v>
      </c>
      <c r="V256" s="113">
        <f>MAX(P245:P251)</f>
        <v>0.30238725055334598</v>
      </c>
      <c r="W256" s="111">
        <f>MAX(O256:U256)</f>
        <v>359.13877371559101</v>
      </c>
    </row>
    <row r="257" spans="1:25" x14ac:dyDescent="0.25">
      <c r="C257" s="48"/>
      <c r="R257" s="70"/>
      <c r="S257" s="70"/>
      <c r="T257" s="70"/>
      <c r="U257" s="70"/>
      <c r="V257" s="70"/>
    </row>
    <row r="258" spans="1:25" s="87" customFormat="1" x14ac:dyDescent="0.25">
      <c r="C258" s="102"/>
      <c r="P258" s="108"/>
      <c r="Q258" s="109"/>
      <c r="R258" s="110"/>
      <c r="S258" s="110"/>
      <c r="T258" s="110"/>
      <c r="U258" s="110"/>
      <c r="V258" s="110"/>
    </row>
    <row r="259" spans="1:25" s="87" customFormat="1" x14ac:dyDescent="0.25">
      <c r="C259" s="102"/>
      <c r="P259" s="108"/>
      <c r="Q259" s="109"/>
      <c r="R259" s="110"/>
      <c r="S259" s="110"/>
      <c r="T259" s="110"/>
      <c r="U259" s="110"/>
      <c r="V259" s="110"/>
    </row>
    <row r="260" spans="1:25" x14ac:dyDescent="0.25">
      <c r="C260" s="48"/>
      <c r="P260" s="66"/>
      <c r="Q260" s="65"/>
      <c r="R260" s="70"/>
      <c r="S260" s="70"/>
      <c r="T260" s="70"/>
      <c r="U260" s="70"/>
      <c r="V260" s="70"/>
    </row>
    <row r="261" spans="1:25" ht="19.5" thickBot="1" x14ac:dyDescent="0.35">
      <c r="B261" s="99" t="s">
        <v>186</v>
      </c>
      <c r="C261" s="48"/>
      <c r="S261" s="52" t="s">
        <v>187</v>
      </c>
    </row>
    <row r="262" spans="1:25" ht="15.75" thickBot="1" x14ac:dyDescent="0.3">
      <c r="S262" s="100" t="s">
        <v>188</v>
      </c>
    </row>
    <row r="263" spans="1:25" ht="19.5" thickBot="1" x14ac:dyDescent="0.35">
      <c r="B263" s="355" t="s">
        <v>41</v>
      </c>
      <c r="C263" s="356"/>
      <c r="F263" s="6" t="s">
        <v>62</v>
      </c>
      <c r="G263" s="71">
        <f>11-0.00629*Q265</f>
        <v>9.0501000000000005</v>
      </c>
      <c r="H263" s="5" t="s">
        <v>189</v>
      </c>
      <c r="J263" s="8" t="s">
        <v>141</v>
      </c>
      <c r="M263" s="5" t="s">
        <v>190</v>
      </c>
      <c r="O263" s="99" t="s">
        <v>185</v>
      </c>
      <c r="R263" s="5" t="s">
        <v>193</v>
      </c>
      <c r="S263" s="5" t="s">
        <v>194</v>
      </c>
    </row>
    <row r="264" spans="1:25" ht="45.75" thickBot="1" x14ac:dyDescent="0.3">
      <c r="C264" s="357" t="s">
        <v>124</v>
      </c>
      <c r="D264" s="357"/>
      <c r="E264" s="357"/>
      <c r="F264" s="357"/>
      <c r="G264" s="357"/>
      <c r="H264" s="357"/>
      <c r="I264" s="357"/>
      <c r="J264" s="357"/>
      <c r="K264" s="357"/>
      <c r="L264" s="10"/>
      <c r="M264" s="10">
        <v>1.25</v>
      </c>
      <c r="O264" s="72" t="s">
        <v>7</v>
      </c>
      <c r="P264" s="13" t="s">
        <v>0</v>
      </c>
      <c r="Q264" s="14" t="s">
        <v>63</v>
      </c>
      <c r="R264" s="11" t="s">
        <v>121</v>
      </c>
      <c r="S264" s="11" t="s">
        <v>122</v>
      </c>
      <c r="T264" s="15" t="s">
        <v>1</v>
      </c>
    </row>
    <row r="265" spans="1:25" ht="25.5" customHeight="1" thickBot="1" x14ac:dyDescent="0.3">
      <c r="B265" s="351" t="s">
        <v>61</v>
      </c>
      <c r="C265" s="351" t="s">
        <v>17</v>
      </c>
      <c r="D265" s="351" t="s">
        <v>18</v>
      </c>
      <c r="E265" s="351" t="s">
        <v>207</v>
      </c>
      <c r="F265" s="351" t="s">
        <v>19</v>
      </c>
      <c r="G265" s="361" t="s">
        <v>28</v>
      </c>
      <c r="H265" s="362"/>
      <c r="I265" s="363"/>
      <c r="J265" s="353" t="s">
        <v>26</v>
      </c>
      <c r="K265" s="354"/>
      <c r="L265" s="358" t="s">
        <v>60</v>
      </c>
      <c r="M265" s="358" t="s">
        <v>35</v>
      </c>
      <c r="O265" s="73" t="s">
        <v>8</v>
      </c>
      <c r="P265" s="74">
        <v>0.25262421337244589</v>
      </c>
      <c r="Q265" s="75">
        <v>310</v>
      </c>
      <c r="R265" s="76">
        <v>12</v>
      </c>
      <c r="S265" s="68">
        <f>R265</f>
        <v>12</v>
      </c>
      <c r="T265" s="69" t="s">
        <v>12</v>
      </c>
    </row>
    <row r="266" spans="1:25" ht="30" x14ac:dyDescent="0.25">
      <c r="B266" s="352"/>
      <c r="C266" s="352"/>
      <c r="D266" s="352"/>
      <c r="E266" s="364"/>
      <c r="F266" s="352"/>
      <c r="G266" s="16" t="s">
        <v>27</v>
      </c>
      <c r="H266" s="16" t="s">
        <v>29</v>
      </c>
      <c r="I266" s="16" t="s">
        <v>192</v>
      </c>
      <c r="J266" s="16" t="s">
        <v>25</v>
      </c>
      <c r="K266" s="17" t="s">
        <v>24</v>
      </c>
      <c r="L266" s="359"/>
      <c r="M266" s="359"/>
      <c r="O266" s="26" t="s">
        <v>64</v>
      </c>
      <c r="P266" s="26" t="s">
        <v>65</v>
      </c>
      <c r="Q266" s="26" t="s">
        <v>66</v>
      </c>
      <c r="R266" s="26" t="s">
        <v>120</v>
      </c>
      <c r="S266" s="26" t="s">
        <v>123</v>
      </c>
      <c r="T266" s="371" t="s">
        <v>67</v>
      </c>
      <c r="U266" s="372"/>
      <c r="V266" s="372"/>
      <c r="W266" s="372"/>
      <c r="X266" s="372"/>
      <c r="Y266" s="373"/>
    </row>
    <row r="267" spans="1:25" x14ac:dyDescent="0.25">
      <c r="B267" s="24">
        <v>1</v>
      </c>
      <c r="C267" s="41">
        <v>9.0500000000000007</v>
      </c>
      <c r="D267" s="50">
        <v>0</v>
      </c>
      <c r="E267" s="50"/>
      <c r="F267" s="33" t="s">
        <v>20</v>
      </c>
      <c r="G267" s="1">
        <v>0</v>
      </c>
      <c r="H267" s="33" t="s">
        <v>20</v>
      </c>
      <c r="I267" s="128" t="s">
        <v>188</v>
      </c>
      <c r="J267" s="1">
        <v>0</v>
      </c>
      <c r="K267" s="1">
        <v>0</v>
      </c>
      <c r="L267" s="77">
        <v>2689.41</v>
      </c>
      <c r="M267" s="25">
        <f>L267*$M$264</f>
        <v>3361.7624999999998</v>
      </c>
      <c r="O267" s="28" t="s">
        <v>69</v>
      </c>
      <c r="P267" s="29"/>
      <c r="Q267" s="30"/>
      <c r="R267" s="31">
        <f>M267</f>
        <v>3361.7624999999998</v>
      </c>
      <c r="S267" s="32">
        <f t="shared" ref="S267:S273" si="52">IF($R$265=$S$265,$S$265,IF(RIGHT(O267)&gt;=RIGHT($S$262),$S$265,$R$265))</f>
        <v>12</v>
      </c>
      <c r="T267" s="2"/>
      <c r="U267" s="2"/>
      <c r="V267" s="33"/>
      <c r="W267" s="33"/>
      <c r="X267" s="63"/>
      <c r="Y267" s="33"/>
    </row>
    <row r="268" spans="1:25" x14ac:dyDescent="0.25">
      <c r="A268" s="183"/>
      <c r="B268" s="24">
        <v>2</v>
      </c>
      <c r="C268" s="41">
        <f t="shared" ref="C268:C271" si="53">ROUND($C$267*(1-D268),2)</f>
        <v>8.4499999999999993</v>
      </c>
      <c r="D268" s="50">
        <f>D267+E268</f>
        <v>6.5934065934065894E-2</v>
      </c>
      <c r="E268" s="50">
        <v>6.5934065934065894E-2</v>
      </c>
      <c r="F268" s="33" t="s">
        <v>125</v>
      </c>
      <c r="G268" s="25">
        <v>25.304879790882598</v>
      </c>
      <c r="H268" s="33" t="s">
        <v>32</v>
      </c>
      <c r="I268" s="128" t="s">
        <v>175</v>
      </c>
      <c r="J268" s="25">
        <v>17.309999999999999</v>
      </c>
      <c r="K268" s="25">
        <f t="shared" ref="K268:K273" si="54">J268+K267</f>
        <v>17.309999999999999</v>
      </c>
      <c r="L268" s="1">
        <f t="shared" ref="L268:L273" si="55">$L$267+K268</f>
        <v>2706.72</v>
      </c>
      <c r="M268" s="25">
        <f t="shared" ref="M268:M273" si="56">L268*$M$264</f>
        <v>3383.3999999999996</v>
      </c>
      <c r="O268" s="28" t="s">
        <v>15</v>
      </c>
      <c r="P268" s="29">
        <v>0.1</v>
      </c>
      <c r="Q268" s="30">
        <f>K268+(K269-K268)*(P268-D268)/(D269-D268)</f>
        <v>68.051459051751607</v>
      </c>
      <c r="R268" s="31">
        <f t="shared" ref="R268:R273" si="57">Q268*$M$264</f>
        <v>85.064323814689516</v>
      </c>
      <c r="S268" s="32">
        <f t="shared" si="52"/>
        <v>12</v>
      </c>
      <c r="T268" s="2"/>
      <c r="U268" s="2"/>
      <c r="V268" s="33"/>
      <c r="W268" s="33"/>
      <c r="X268" s="33"/>
      <c r="Y268" s="33"/>
    </row>
    <row r="269" spans="1:25" x14ac:dyDescent="0.25">
      <c r="A269" s="183"/>
      <c r="B269" s="24">
        <v>3</v>
      </c>
      <c r="C269" s="41">
        <f t="shared" si="53"/>
        <v>7.49</v>
      </c>
      <c r="D269" s="50">
        <f t="shared" ref="D269:D273" si="58">D268+E269</f>
        <v>0.17252747252747247</v>
      </c>
      <c r="E269" s="50">
        <v>0.10659340659340658</v>
      </c>
      <c r="F269" s="33" t="s">
        <v>126</v>
      </c>
      <c r="G269" s="25">
        <v>325.00366108066112</v>
      </c>
      <c r="H269" s="33" t="s">
        <v>30</v>
      </c>
      <c r="I269" s="128" t="s">
        <v>175</v>
      </c>
      <c r="J269" s="133">
        <f>G269*1.05^((LOG(5.5/4.68)/LOG(1.02)))-G269</f>
        <v>158.7716621941903</v>
      </c>
      <c r="K269" s="25">
        <f t="shared" si="54"/>
        <v>176.0816621941903</v>
      </c>
      <c r="L269" s="1">
        <f t="shared" si="55"/>
        <v>2865.4916621941902</v>
      </c>
      <c r="M269" s="25">
        <f t="shared" si="56"/>
        <v>3581.8645777427378</v>
      </c>
      <c r="O269" s="28" t="s">
        <v>2</v>
      </c>
      <c r="P269" s="29">
        <v>0.15</v>
      </c>
      <c r="Q269" s="30">
        <f>K268+(K269-K268)*(P269-D268)/(D269-D268)</f>
        <v>142.52682636964499</v>
      </c>
      <c r="R269" s="31">
        <f t="shared" si="57"/>
        <v>178.15853296205626</v>
      </c>
      <c r="S269" s="32">
        <f t="shared" si="52"/>
        <v>12</v>
      </c>
      <c r="T269" s="2"/>
      <c r="U269" s="2"/>
      <c r="V269" s="33"/>
      <c r="W269" s="33"/>
      <c r="X269" s="33"/>
      <c r="Y269" s="33"/>
    </row>
    <row r="270" spans="1:25" x14ac:dyDescent="0.25">
      <c r="A270" s="183"/>
      <c r="B270" s="24">
        <v>4</v>
      </c>
      <c r="C270" s="41">
        <f t="shared" si="53"/>
        <v>7.28</v>
      </c>
      <c r="D270" s="50">
        <f t="shared" si="58"/>
        <v>0.19560439560439555</v>
      </c>
      <c r="E270" s="50">
        <v>2.3076923076923078E-2</v>
      </c>
      <c r="F270" s="33" t="s">
        <v>127</v>
      </c>
      <c r="G270" s="25">
        <v>48.449999999999996</v>
      </c>
      <c r="H270" s="33" t="s">
        <v>31</v>
      </c>
      <c r="I270" s="128" t="s">
        <v>175</v>
      </c>
      <c r="J270" s="25">
        <v>7.81</v>
      </c>
      <c r="K270" s="25">
        <f t="shared" si="54"/>
        <v>183.8916621941903</v>
      </c>
      <c r="L270" s="1">
        <f t="shared" si="55"/>
        <v>2873.3016621941902</v>
      </c>
      <c r="M270" s="25">
        <f t="shared" si="56"/>
        <v>3591.6270777427376</v>
      </c>
      <c r="O270" s="28" t="s">
        <v>3</v>
      </c>
      <c r="P270" s="29">
        <v>0.2</v>
      </c>
      <c r="Q270" s="30">
        <f>U270-Y270</f>
        <v>187.60213838466652</v>
      </c>
      <c r="R270" s="31">
        <f t="shared" si="57"/>
        <v>234.50267298083315</v>
      </c>
      <c r="S270" s="32">
        <f t="shared" si="52"/>
        <v>12</v>
      </c>
      <c r="T270" s="45">
        <f>D271</f>
        <v>0.2054945054945054</v>
      </c>
      <c r="U270" s="25">
        <f>K271</f>
        <v>189.4616621941903</v>
      </c>
      <c r="V270" s="33"/>
      <c r="W270" s="45">
        <f>T270-P270</f>
        <v>5.4945054945053917E-3</v>
      </c>
      <c r="X270" s="45">
        <f>D270-W270</f>
        <v>0.19010989010989016</v>
      </c>
      <c r="Y270" s="1">
        <f>(K270-K269)-(K270-K269)*(X270-D269)/(D270-D269)</f>
        <v>1.8595238095237754</v>
      </c>
    </row>
    <row r="271" spans="1:25" x14ac:dyDescent="0.25">
      <c r="A271" s="183"/>
      <c r="B271" s="24">
        <v>5</v>
      </c>
      <c r="C271" s="41">
        <f t="shared" si="53"/>
        <v>7.19</v>
      </c>
      <c r="D271" s="50">
        <f t="shared" si="58"/>
        <v>0.2054945054945054</v>
      </c>
      <c r="E271" s="50">
        <v>9.890109890109855E-3</v>
      </c>
      <c r="F271" s="33" t="s">
        <v>135</v>
      </c>
      <c r="G271" s="25">
        <v>42.618736645611897</v>
      </c>
      <c r="H271" s="33" t="s">
        <v>32</v>
      </c>
      <c r="I271" s="128" t="s">
        <v>176</v>
      </c>
      <c r="J271" s="25">
        <v>5.57</v>
      </c>
      <c r="K271" s="25">
        <f t="shared" si="54"/>
        <v>189.4616621941903</v>
      </c>
      <c r="L271" s="1">
        <f t="shared" si="55"/>
        <v>2878.8716621941903</v>
      </c>
      <c r="M271" s="25">
        <f t="shared" si="56"/>
        <v>3598.5895777427377</v>
      </c>
      <c r="O271" s="28" t="s">
        <v>4</v>
      </c>
      <c r="P271" s="29">
        <v>0.25</v>
      </c>
      <c r="Q271" s="30">
        <f>K271+(K273-K271)*(P271-D271)/(D273-D271)</f>
        <v>453.71659293246921</v>
      </c>
      <c r="R271" s="31">
        <f t="shared" si="57"/>
        <v>567.14574116558651</v>
      </c>
      <c r="S271" s="32">
        <f t="shared" si="52"/>
        <v>12</v>
      </c>
      <c r="T271" s="45"/>
      <c r="U271" s="25"/>
      <c r="V271" s="33"/>
      <c r="W271" s="45"/>
      <c r="X271" s="45"/>
      <c r="Y271" s="1"/>
    </row>
    <row r="272" spans="1:25" x14ac:dyDescent="0.25">
      <c r="A272" s="183"/>
      <c r="B272" s="24">
        <v>6</v>
      </c>
      <c r="C272" s="41">
        <f>ROUND($C$267*(1-D272),2)</f>
        <v>6.71</v>
      </c>
      <c r="D272" s="50">
        <f t="shared" si="58"/>
        <v>0.2582417582417581</v>
      </c>
      <c r="E272" s="50">
        <v>5.2747252747252726E-2</v>
      </c>
      <c r="F272" s="33" t="s">
        <v>136</v>
      </c>
      <c r="G272" s="25">
        <v>313.19102902314444</v>
      </c>
      <c r="H272" s="33" t="s">
        <v>34</v>
      </c>
      <c r="I272" s="128" t="s">
        <v>176</v>
      </c>
      <c r="J272" s="25">
        <f>G272</f>
        <v>313.19102902314444</v>
      </c>
      <c r="K272" s="25">
        <f t="shared" si="54"/>
        <v>502.65269121733473</v>
      </c>
      <c r="L272" s="1">
        <f t="shared" si="55"/>
        <v>3192.0626912173348</v>
      </c>
      <c r="M272" s="25">
        <f t="shared" si="56"/>
        <v>3990.0783640216687</v>
      </c>
      <c r="O272" s="28" t="s">
        <v>5</v>
      </c>
      <c r="P272" s="149">
        <v>0.25</v>
      </c>
      <c r="Q272" s="30">
        <f>U272-Y272</f>
        <v>453.71659293246921</v>
      </c>
      <c r="R272" s="31">
        <f t="shared" si="57"/>
        <v>567.14574116558651</v>
      </c>
      <c r="S272" s="32">
        <f t="shared" si="52"/>
        <v>12</v>
      </c>
      <c r="T272" s="45">
        <f>D272</f>
        <v>0.2582417582417581</v>
      </c>
      <c r="U272" s="25">
        <f>K272</f>
        <v>502.65269121733473</v>
      </c>
      <c r="V272" s="33"/>
      <c r="W272" s="45">
        <f>T272-P272</f>
        <v>8.2417582417581015E-3</v>
      </c>
      <c r="X272" s="45">
        <f>D273-W272</f>
        <v>0.25</v>
      </c>
      <c r="Y272" s="1">
        <f>(K273-K271)-(K273-K271)*(X272-D271)/(D273-D271)</f>
        <v>48.936098284865523</v>
      </c>
    </row>
    <row r="273" spans="1:28" ht="15.75" customHeight="1" x14ac:dyDescent="0.25">
      <c r="A273" s="183"/>
      <c r="B273" s="164">
        <v>8</v>
      </c>
      <c r="C273" s="41">
        <f>ROUND($C$267*(1-D273),2)</f>
        <v>6.71</v>
      </c>
      <c r="D273" s="50">
        <f t="shared" si="58"/>
        <v>0.2582417582417581</v>
      </c>
      <c r="E273" s="161">
        <v>0</v>
      </c>
      <c r="F273" s="185" t="s">
        <v>128</v>
      </c>
      <c r="G273" s="1">
        <v>1251.918067754126</v>
      </c>
      <c r="H273" s="33" t="s">
        <v>59</v>
      </c>
      <c r="I273" s="128" t="s">
        <v>175</v>
      </c>
      <c r="J273" s="133">
        <v>0</v>
      </c>
      <c r="K273" s="25">
        <f t="shared" si="54"/>
        <v>502.65269121733473</v>
      </c>
      <c r="L273" s="1">
        <f t="shared" si="55"/>
        <v>3192.0626912173348</v>
      </c>
      <c r="M273" s="25">
        <f t="shared" si="56"/>
        <v>3990.0783640216687</v>
      </c>
      <c r="O273" s="28" t="s">
        <v>70</v>
      </c>
      <c r="P273" s="37">
        <f>D272</f>
        <v>0.2582417582417581</v>
      </c>
      <c r="Q273" s="30">
        <f>K272</f>
        <v>502.65269121733473</v>
      </c>
      <c r="R273" s="31">
        <f t="shared" si="57"/>
        <v>628.3158640216684</v>
      </c>
      <c r="S273" s="32">
        <f t="shared" si="52"/>
        <v>12</v>
      </c>
      <c r="T273" s="33"/>
      <c r="U273" s="33"/>
      <c r="V273" s="33"/>
      <c r="W273" s="33"/>
      <c r="X273" s="33"/>
      <c r="Y273" s="33"/>
    </row>
    <row r="275" spans="1:28" ht="19.5" thickBot="1" x14ac:dyDescent="0.35">
      <c r="O275" s="99" t="s">
        <v>184</v>
      </c>
    </row>
    <row r="276" spans="1:28" ht="15.75" thickBot="1" x14ac:dyDescent="0.3">
      <c r="O276" s="360" t="s">
        <v>69</v>
      </c>
      <c r="P276" s="360" t="s">
        <v>15</v>
      </c>
      <c r="Q276" s="360" t="s">
        <v>2</v>
      </c>
      <c r="R276" s="360" t="s">
        <v>3</v>
      </c>
      <c r="S276" s="360" t="s">
        <v>4</v>
      </c>
      <c r="T276" s="360" t="s">
        <v>5</v>
      </c>
      <c r="U276" s="360" t="s">
        <v>70</v>
      </c>
      <c r="V276" s="360" t="s">
        <v>150</v>
      </c>
      <c r="W276" s="360"/>
    </row>
    <row r="277" spans="1:28" ht="15.75" thickBot="1" x14ac:dyDescent="0.3">
      <c r="O277" s="360"/>
      <c r="P277" s="360"/>
      <c r="Q277" s="360"/>
      <c r="R277" s="360"/>
      <c r="S277" s="360"/>
      <c r="T277" s="360"/>
      <c r="U277" s="360"/>
      <c r="V277" s="4" t="s">
        <v>151</v>
      </c>
      <c r="W277" s="4" t="s">
        <v>152</v>
      </c>
    </row>
    <row r="278" spans="1:28" ht="15.75" thickBot="1" x14ac:dyDescent="0.3">
      <c r="O278" s="111">
        <f>Q267</f>
        <v>0</v>
      </c>
      <c r="P278" s="111">
        <f>Q268</f>
        <v>68.051459051751607</v>
      </c>
      <c r="Q278" s="111">
        <f>Q269</f>
        <v>142.52682636964499</v>
      </c>
      <c r="R278" s="112">
        <f>Q270</f>
        <v>187.60213838466652</v>
      </c>
      <c r="S278" s="111">
        <f>Q271</f>
        <v>453.71659293246921</v>
      </c>
      <c r="T278" s="111">
        <f>Q272</f>
        <v>453.71659293246921</v>
      </c>
      <c r="U278" s="111">
        <f>Q273</f>
        <v>502.65269121733473</v>
      </c>
      <c r="V278" s="113">
        <f>MAX(P267:P273)</f>
        <v>0.2582417582417581</v>
      </c>
      <c r="W278" s="111">
        <f>MAX(O278:U278)</f>
        <v>502.65269121733473</v>
      </c>
    </row>
    <row r="279" spans="1:28" x14ac:dyDescent="0.25">
      <c r="R279" s="70"/>
      <c r="S279" s="70"/>
      <c r="T279" s="70"/>
      <c r="U279" s="70"/>
      <c r="V279" s="70"/>
    </row>
    <row r="280" spans="1:28" x14ac:dyDescent="0.25">
      <c r="C280" s="48"/>
    </row>
    <row r="281" spans="1:28" s="87" customFormat="1" x14ac:dyDescent="0.25">
      <c r="C281" s="102"/>
    </row>
    <row r="282" spans="1:28" s="87" customFormat="1" x14ac:dyDescent="0.25">
      <c r="C282" s="102"/>
    </row>
    <row r="283" spans="1:28" x14ac:dyDescent="0.25">
      <c r="C283" s="48"/>
    </row>
    <row r="284" spans="1:28" ht="19.5" thickBot="1" x14ac:dyDescent="0.35">
      <c r="B284" s="99" t="s">
        <v>186</v>
      </c>
      <c r="C284" s="48"/>
      <c r="S284" s="52" t="s">
        <v>187</v>
      </c>
    </row>
    <row r="285" spans="1:28" ht="15.75" thickBot="1" x14ac:dyDescent="0.3">
      <c r="C285" s="78"/>
      <c r="S285" s="100" t="s">
        <v>188</v>
      </c>
    </row>
    <row r="286" spans="1:28" ht="19.5" thickBot="1" x14ac:dyDescent="0.35">
      <c r="B286" s="355" t="s">
        <v>42</v>
      </c>
      <c r="C286" s="356"/>
      <c r="F286" s="6" t="s">
        <v>62</v>
      </c>
      <c r="G286" s="71">
        <f>11-0.00629*Q288</f>
        <v>5.8422000000000001</v>
      </c>
      <c r="H286" s="5" t="s">
        <v>189</v>
      </c>
      <c r="J286" s="8" t="s">
        <v>142</v>
      </c>
      <c r="M286" s="5" t="s">
        <v>190</v>
      </c>
      <c r="O286" s="99" t="s">
        <v>185</v>
      </c>
      <c r="R286" s="5" t="s">
        <v>193</v>
      </c>
      <c r="S286" s="5" t="s">
        <v>194</v>
      </c>
    </row>
    <row r="287" spans="1:28" ht="45.75" thickBot="1" x14ac:dyDescent="0.3">
      <c r="C287" s="357" t="s">
        <v>129</v>
      </c>
      <c r="D287" s="357"/>
      <c r="E287" s="357"/>
      <c r="F287" s="357"/>
      <c r="G287" s="357"/>
      <c r="H287" s="357"/>
      <c r="I287" s="357"/>
      <c r="J287" s="357"/>
      <c r="K287" s="357"/>
      <c r="L287" s="79"/>
      <c r="M287" s="10">
        <v>1.25</v>
      </c>
      <c r="O287" s="80" t="s">
        <v>7</v>
      </c>
      <c r="P287" s="13" t="s">
        <v>0</v>
      </c>
      <c r="Q287" s="14" t="s">
        <v>63</v>
      </c>
      <c r="R287" s="11" t="s">
        <v>121</v>
      </c>
      <c r="S287" s="11" t="s">
        <v>122</v>
      </c>
      <c r="T287" s="15" t="s">
        <v>1</v>
      </c>
      <c r="Z287" s="81"/>
      <c r="AA287" s="81"/>
      <c r="AB287" s="81"/>
    </row>
    <row r="288" spans="1:28" ht="33" customHeight="1" thickBot="1" x14ac:dyDescent="0.3">
      <c r="B288" s="351" t="s">
        <v>61</v>
      </c>
      <c r="C288" s="351" t="s">
        <v>17</v>
      </c>
      <c r="D288" s="351" t="s">
        <v>23</v>
      </c>
      <c r="E288" s="351" t="s">
        <v>207</v>
      </c>
      <c r="F288" s="351" t="s">
        <v>19</v>
      </c>
      <c r="G288" s="361" t="s">
        <v>28</v>
      </c>
      <c r="H288" s="362"/>
      <c r="I288" s="363"/>
      <c r="J288" s="353" t="s">
        <v>26</v>
      </c>
      <c r="K288" s="354"/>
      <c r="L288" s="358" t="s">
        <v>60</v>
      </c>
      <c r="M288" s="358" t="s">
        <v>35</v>
      </c>
      <c r="O288" s="73" t="s">
        <v>10</v>
      </c>
      <c r="P288" s="74">
        <v>0.17007480709834627</v>
      </c>
      <c r="Q288" s="75">
        <v>820</v>
      </c>
      <c r="R288" s="76">
        <v>13.6</v>
      </c>
      <c r="S288" s="78">
        <f>R288</f>
        <v>13.6</v>
      </c>
      <c r="T288" s="5" t="s">
        <v>12</v>
      </c>
    </row>
    <row r="289" spans="2:25" ht="30" x14ac:dyDescent="0.25">
      <c r="B289" s="352"/>
      <c r="C289" s="352"/>
      <c r="D289" s="352"/>
      <c r="E289" s="364"/>
      <c r="F289" s="352"/>
      <c r="G289" s="16" t="s">
        <v>27</v>
      </c>
      <c r="H289" s="16" t="s">
        <v>29</v>
      </c>
      <c r="I289" s="16" t="s">
        <v>192</v>
      </c>
      <c r="J289" s="16" t="s">
        <v>25</v>
      </c>
      <c r="K289" s="17" t="s">
        <v>24</v>
      </c>
      <c r="L289" s="359"/>
      <c r="M289" s="359"/>
      <c r="O289" s="26" t="s">
        <v>64</v>
      </c>
      <c r="P289" s="26" t="s">
        <v>65</v>
      </c>
      <c r="Q289" s="26" t="s">
        <v>66</v>
      </c>
      <c r="R289" s="26" t="s">
        <v>120</v>
      </c>
      <c r="S289" s="26" t="s">
        <v>123</v>
      </c>
      <c r="T289" s="365" t="s">
        <v>67</v>
      </c>
      <c r="U289" s="366"/>
      <c r="V289" s="366"/>
      <c r="W289" s="366"/>
      <c r="X289" s="366"/>
      <c r="Y289" s="367"/>
    </row>
    <row r="290" spans="2:25" x14ac:dyDescent="0.25">
      <c r="B290" s="24">
        <v>1</v>
      </c>
      <c r="C290" s="27">
        <v>6.6</v>
      </c>
      <c r="D290" s="50">
        <v>0</v>
      </c>
      <c r="E290" s="50"/>
      <c r="F290" s="33" t="s">
        <v>20</v>
      </c>
      <c r="G290" s="1">
        <v>0</v>
      </c>
      <c r="H290" s="33" t="s">
        <v>20</v>
      </c>
      <c r="I290" s="128" t="s">
        <v>188</v>
      </c>
      <c r="J290" s="1">
        <v>0</v>
      </c>
      <c r="K290" s="25">
        <v>0</v>
      </c>
      <c r="L290" s="82">
        <v>2077.94</v>
      </c>
      <c r="M290" s="25">
        <f t="shared" ref="M290:M295" si="59">L290*$M$287</f>
        <v>2597.4250000000002</v>
      </c>
      <c r="O290" s="28" t="s">
        <v>69</v>
      </c>
      <c r="P290" s="33"/>
      <c r="Q290" s="33"/>
      <c r="R290" s="25">
        <f>M290</f>
        <v>2597.4250000000002</v>
      </c>
      <c r="S290" s="32">
        <f t="shared" ref="S290:S296" si="60">IF($R$288=$S$288,$S$288,IF(RIGHT(O290)&gt;=RIGHT($S$285),$S$288,$R$288))</f>
        <v>13.6</v>
      </c>
      <c r="T290" s="33"/>
      <c r="U290" s="33"/>
      <c r="V290" s="33"/>
      <c r="W290" s="33"/>
      <c r="X290" s="33"/>
      <c r="Y290" s="33"/>
    </row>
    <row r="291" spans="2:25" x14ac:dyDescent="0.25">
      <c r="B291" s="24">
        <v>2</v>
      </c>
      <c r="C291" s="27">
        <f>ROUND($C$290*(1-D291),2)</f>
        <v>6.14</v>
      </c>
      <c r="D291" s="50">
        <v>7.040000000000006E-2</v>
      </c>
      <c r="E291" s="50">
        <f>D291-D290</f>
        <v>7.040000000000006E-2</v>
      </c>
      <c r="F291" s="33" t="s">
        <v>130</v>
      </c>
      <c r="G291" s="25">
        <v>61.283999999999992</v>
      </c>
      <c r="H291" s="33" t="s">
        <v>31</v>
      </c>
      <c r="I291" s="128" t="s">
        <v>175</v>
      </c>
      <c r="J291" s="1">
        <v>21.09</v>
      </c>
      <c r="K291" s="25">
        <f>K290+J291</f>
        <v>21.09</v>
      </c>
      <c r="L291" s="25">
        <f>$L$290+K291</f>
        <v>2099.0300000000002</v>
      </c>
      <c r="M291" s="25">
        <f t="shared" si="59"/>
        <v>2623.7875000000004</v>
      </c>
      <c r="O291" s="28" t="s">
        <v>15</v>
      </c>
      <c r="P291" s="29">
        <v>0.1</v>
      </c>
      <c r="Q291" s="30">
        <f>K291+(K292-K291)*(P291-D291)/(D292-D291)</f>
        <v>75.7439047854444</v>
      </c>
      <c r="R291" s="83">
        <f t="shared" ref="R291:R296" si="61">Q291*$M$287</f>
        <v>94.679880981805496</v>
      </c>
      <c r="S291" s="32">
        <f t="shared" si="60"/>
        <v>13.6</v>
      </c>
      <c r="T291" s="33"/>
      <c r="U291" s="33"/>
      <c r="V291" s="33"/>
      <c r="W291" s="33"/>
      <c r="X291" s="33"/>
      <c r="Y291" s="33"/>
    </row>
    <row r="292" spans="2:25" x14ac:dyDescent="0.25">
      <c r="B292" s="24">
        <v>3</v>
      </c>
      <c r="C292" s="27">
        <f>ROUND($C$290*(1-D292),2)</f>
        <v>5.17</v>
      </c>
      <c r="D292" s="50">
        <v>0.21599999999999994</v>
      </c>
      <c r="E292" s="50">
        <f>D292-D291</f>
        <v>0.1455999999999999</v>
      </c>
      <c r="F292" s="33" t="s">
        <v>131</v>
      </c>
      <c r="G292" s="25">
        <v>384.35222670856257</v>
      </c>
      <c r="H292" s="33" t="s">
        <v>30</v>
      </c>
      <c r="I292" s="128" t="s">
        <v>175</v>
      </c>
      <c r="J292" s="133">
        <f>G292*1.05^((LOG(6.3/5.08)/LOG(1.02)))-G292</f>
        <v>268.83812624191597</v>
      </c>
      <c r="K292" s="25">
        <f>K291+J292</f>
        <v>289.92812624191595</v>
      </c>
      <c r="L292" s="25">
        <f>$L$290+K292</f>
        <v>2367.8681262419159</v>
      </c>
      <c r="M292" s="25">
        <f t="shared" si="59"/>
        <v>2959.8351578023949</v>
      </c>
      <c r="O292" s="28" t="s">
        <v>2</v>
      </c>
      <c r="P292" s="29">
        <v>0.15</v>
      </c>
      <c r="Q292" s="30">
        <f>K291+(K292-K291)*(P292-D291)/(D292-D291)</f>
        <v>168.0646898959925</v>
      </c>
      <c r="R292" s="83">
        <f t="shared" si="61"/>
        <v>210.08086236999063</v>
      </c>
      <c r="S292" s="32">
        <f t="shared" si="60"/>
        <v>13.6</v>
      </c>
      <c r="T292" s="33"/>
      <c r="U292" s="33"/>
      <c r="V292" s="33"/>
      <c r="W292" s="33"/>
      <c r="X292" s="33"/>
      <c r="Y292" s="33"/>
    </row>
    <row r="293" spans="2:25" x14ac:dyDescent="0.25">
      <c r="B293" s="24">
        <v>4</v>
      </c>
      <c r="C293" s="27">
        <f>ROUND($C$290*(1-D293),2)</f>
        <v>5.01</v>
      </c>
      <c r="D293" s="50">
        <v>0.24159999999999995</v>
      </c>
      <c r="E293" s="50">
        <f t="shared" ref="E293:E295" si="62">D293-D292</f>
        <v>2.5600000000000012E-2</v>
      </c>
      <c r="F293" s="33" t="s">
        <v>125</v>
      </c>
      <c r="G293" s="25">
        <v>29.733674386352316</v>
      </c>
      <c r="H293" s="33" t="s">
        <v>32</v>
      </c>
      <c r="I293" s="128" t="s">
        <v>175</v>
      </c>
      <c r="J293" s="1">
        <v>20.5</v>
      </c>
      <c r="K293" s="25">
        <f>K292+J293</f>
        <v>310.42812624191595</v>
      </c>
      <c r="L293" s="25">
        <f>$L$290+K293</f>
        <v>2388.3681262419159</v>
      </c>
      <c r="M293" s="25">
        <f t="shared" si="59"/>
        <v>2985.4601578023949</v>
      </c>
      <c r="O293" s="28" t="s">
        <v>3</v>
      </c>
      <c r="P293" s="29">
        <v>0.2</v>
      </c>
      <c r="Q293" s="30">
        <f>K291+(K292-K291)*(P293-D291)/(D292-D291)</f>
        <v>260.38547500654062</v>
      </c>
      <c r="R293" s="83">
        <f t="shared" si="61"/>
        <v>325.48184375817578</v>
      </c>
      <c r="S293" s="32">
        <f t="shared" si="60"/>
        <v>13.6</v>
      </c>
      <c r="T293" s="33"/>
      <c r="U293" s="33"/>
      <c r="V293" s="33"/>
      <c r="W293" s="33"/>
      <c r="X293" s="33"/>
      <c r="Y293" s="33"/>
    </row>
    <row r="294" spans="2:25" x14ac:dyDescent="0.25">
      <c r="B294" s="24">
        <v>5</v>
      </c>
      <c r="C294" s="27">
        <f>ROUND($C$290*(1-D294),2)</f>
        <v>4.92</v>
      </c>
      <c r="D294" s="50">
        <v>0.25439999999999996</v>
      </c>
      <c r="E294" s="50">
        <f t="shared" si="62"/>
        <v>1.2800000000000006E-2</v>
      </c>
      <c r="F294" s="33" t="s">
        <v>135</v>
      </c>
      <c r="G294" s="25">
        <v>50.230878982521219</v>
      </c>
      <c r="H294" s="33" t="s">
        <v>32</v>
      </c>
      <c r="I294" s="128" t="s">
        <v>176</v>
      </c>
      <c r="J294" s="1">
        <v>13.24</v>
      </c>
      <c r="K294" s="25">
        <f>K293+J294</f>
        <v>323.66812624191596</v>
      </c>
      <c r="L294" s="25">
        <f>$L$290+K294</f>
        <v>2401.6081262419161</v>
      </c>
      <c r="M294" s="25">
        <f t="shared" si="59"/>
        <v>3002.010157802395</v>
      </c>
      <c r="O294" s="28" t="s">
        <v>4</v>
      </c>
      <c r="P294" s="29">
        <v>0.25</v>
      </c>
      <c r="Q294" s="30">
        <f>U294-Y294</f>
        <v>315.54389715218781</v>
      </c>
      <c r="R294" s="83">
        <f t="shared" si="61"/>
        <v>394.42987144023476</v>
      </c>
      <c r="S294" s="32">
        <f t="shared" si="60"/>
        <v>13.6</v>
      </c>
      <c r="T294" s="45">
        <f>D294</f>
        <v>0.25439999999999996</v>
      </c>
      <c r="U294" s="25">
        <f>K294</f>
        <v>323.66812624191596</v>
      </c>
      <c r="V294" s="33"/>
      <c r="W294" s="45">
        <f>T294-P294</f>
        <v>4.3999999999999595E-3</v>
      </c>
      <c r="X294" s="45">
        <f>D292-W294</f>
        <v>0.21159999999999998</v>
      </c>
      <c r="Y294" s="1">
        <f>(K292-K291)-(K292-K291)*(X294-D291)/(D292-D291)</f>
        <v>8.1242290897281464</v>
      </c>
    </row>
    <row r="295" spans="2:25" x14ac:dyDescent="0.25">
      <c r="B295" s="24">
        <v>6</v>
      </c>
      <c r="C295" s="27">
        <f>ROUND($C$290*(1-D295),2)</f>
        <v>4.5999999999999996</v>
      </c>
      <c r="D295" s="50">
        <v>0.30239999999999995</v>
      </c>
      <c r="E295" s="50">
        <f t="shared" si="62"/>
        <v>4.7999999999999987E-2</v>
      </c>
      <c r="F295" s="33" t="s">
        <v>136</v>
      </c>
      <c r="G295" s="1">
        <v>400.9557981804125</v>
      </c>
      <c r="H295" s="33" t="s">
        <v>34</v>
      </c>
      <c r="I295" s="128" t="s">
        <v>176</v>
      </c>
      <c r="J295" s="1">
        <f>G295</f>
        <v>400.9557981804125</v>
      </c>
      <c r="K295" s="25">
        <f>K294+J295</f>
        <v>724.6239244223284</v>
      </c>
      <c r="L295" s="25">
        <f>$L$290+K295</f>
        <v>2802.5639244223285</v>
      </c>
      <c r="M295" s="25">
        <f t="shared" si="59"/>
        <v>3503.2049055279103</v>
      </c>
      <c r="O295" s="28" t="s">
        <v>5</v>
      </c>
      <c r="P295" s="29">
        <v>0.3</v>
      </c>
      <c r="Q295" s="30">
        <f>U295-Y295</f>
        <v>720.19252673702215</v>
      </c>
      <c r="R295" s="83">
        <f t="shared" si="61"/>
        <v>900.24065842127766</v>
      </c>
      <c r="S295" s="32">
        <f t="shared" si="60"/>
        <v>13.6</v>
      </c>
      <c r="T295" s="45">
        <f>D295</f>
        <v>0.30239999999999995</v>
      </c>
      <c r="U295" s="25">
        <f>K295</f>
        <v>724.6239244223284</v>
      </c>
      <c r="V295" s="33"/>
      <c r="W295" s="45">
        <f>T295-P295</f>
        <v>2.3999999999999577E-3</v>
      </c>
      <c r="X295" s="45">
        <f>D292-W295</f>
        <v>0.21359999999999998</v>
      </c>
      <c r="Y295" s="1">
        <f>(K292-K291)-(K292-K291)*(X295-D291)/(D292-D291)</f>
        <v>4.4313976853062513</v>
      </c>
    </row>
    <row r="296" spans="2:25" x14ac:dyDescent="0.25">
      <c r="O296" s="28" t="s">
        <v>70</v>
      </c>
      <c r="P296" s="37">
        <f>D295</f>
        <v>0.30239999999999995</v>
      </c>
      <c r="Q296" s="30">
        <f>K295</f>
        <v>724.6239244223284</v>
      </c>
      <c r="R296" s="83">
        <f t="shared" si="61"/>
        <v>905.7799055279105</v>
      </c>
      <c r="S296" s="32">
        <f t="shared" si="60"/>
        <v>13.6</v>
      </c>
      <c r="T296" s="33"/>
      <c r="U296" s="33"/>
      <c r="V296" s="33"/>
      <c r="W296" s="33"/>
      <c r="X296" s="33"/>
      <c r="Y296" s="33"/>
    </row>
    <row r="298" spans="2:25" ht="19.5" thickBot="1" x14ac:dyDescent="0.35">
      <c r="E298" s="139"/>
      <c r="O298" s="99" t="s">
        <v>184</v>
      </c>
    </row>
    <row r="299" spans="2:25" ht="15.75" thickBot="1" x14ac:dyDescent="0.3">
      <c r="O299" s="360" t="s">
        <v>69</v>
      </c>
      <c r="P299" s="360" t="s">
        <v>15</v>
      </c>
      <c r="Q299" s="360" t="s">
        <v>2</v>
      </c>
      <c r="R299" s="360" t="s">
        <v>3</v>
      </c>
      <c r="S299" s="360" t="s">
        <v>4</v>
      </c>
      <c r="T299" s="360" t="s">
        <v>5</v>
      </c>
      <c r="U299" s="360" t="s">
        <v>70</v>
      </c>
      <c r="V299" s="360" t="s">
        <v>150</v>
      </c>
      <c r="W299" s="360"/>
    </row>
    <row r="300" spans="2:25" ht="15.75" thickBot="1" x14ac:dyDescent="0.3">
      <c r="E300" s="190"/>
      <c r="O300" s="360"/>
      <c r="P300" s="360"/>
      <c r="Q300" s="360"/>
      <c r="R300" s="360"/>
      <c r="S300" s="360"/>
      <c r="T300" s="360"/>
      <c r="U300" s="360"/>
      <c r="V300" s="4" t="s">
        <v>151</v>
      </c>
      <c r="W300" s="4" t="s">
        <v>152</v>
      </c>
    </row>
    <row r="301" spans="2:25" ht="15.75" thickBot="1" x14ac:dyDescent="0.3">
      <c r="O301" s="111">
        <f>Q290</f>
        <v>0</v>
      </c>
      <c r="P301" s="111">
        <f>Q291</f>
        <v>75.7439047854444</v>
      </c>
      <c r="Q301" s="111">
        <f>Q292</f>
        <v>168.0646898959925</v>
      </c>
      <c r="R301" s="112">
        <f>Q293</f>
        <v>260.38547500654062</v>
      </c>
      <c r="S301" s="111">
        <f>Q294</f>
        <v>315.54389715218781</v>
      </c>
      <c r="T301" s="111">
        <f>Q295</f>
        <v>720.19252673702215</v>
      </c>
      <c r="U301" s="111">
        <f>Q296</f>
        <v>724.6239244223284</v>
      </c>
      <c r="V301" s="113">
        <f>MAX(P290:P296)</f>
        <v>0.30239999999999995</v>
      </c>
      <c r="W301" s="111">
        <f>MAX(O301:U301)</f>
        <v>724.6239244223284</v>
      </c>
    </row>
    <row r="303" spans="2:25" s="87" customFormat="1" x14ac:dyDescent="0.25">
      <c r="C303" s="102"/>
    </row>
    <row r="304" spans="2:25" s="87" customFormat="1" x14ac:dyDescent="0.25"/>
    <row r="305" spans="2:28" x14ac:dyDescent="0.25">
      <c r="C305" s="59"/>
      <c r="S305" s="52"/>
    </row>
    <row r="306" spans="2:28" ht="19.5" thickBot="1" x14ac:dyDescent="0.35">
      <c r="B306" s="99" t="s">
        <v>186</v>
      </c>
      <c r="C306" s="59"/>
      <c r="S306" s="52" t="s">
        <v>187</v>
      </c>
    </row>
    <row r="307" spans="2:28" ht="15.75" thickBot="1" x14ac:dyDescent="0.3">
      <c r="C307" s="59"/>
      <c r="S307" s="100" t="s">
        <v>188</v>
      </c>
    </row>
    <row r="308" spans="2:28" ht="19.5" thickBot="1" x14ac:dyDescent="0.35">
      <c r="B308" s="355" t="s">
        <v>43</v>
      </c>
      <c r="C308" s="356"/>
      <c r="F308" s="6" t="s">
        <v>62</v>
      </c>
      <c r="G308" s="71">
        <f>11.5-0.00629*Q310</f>
        <v>10.8081</v>
      </c>
      <c r="H308" s="5" t="s">
        <v>189</v>
      </c>
      <c r="J308" s="8" t="s">
        <v>143</v>
      </c>
      <c r="M308" s="5" t="s">
        <v>190</v>
      </c>
      <c r="O308" s="99" t="s">
        <v>185</v>
      </c>
      <c r="R308" s="5" t="s">
        <v>193</v>
      </c>
      <c r="S308" s="5" t="s">
        <v>194</v>
      </c>
    </row>
    <row r="309" spans="2:28" ht="45.75" thickBot="1" x14ac:dyDescent="0.3">
      <c r="C309" s="357" t="s">
        <v>132</v>
      </c>
      <c r="D309" s="357"/>
      <c r="E309" s="357"/>
      <c r="F309" s="357"/>
      <c r="G309" s="357"/>
      <c r="H309" s="357"/>
      <c r="I309" s="357"/>
      <c r="J309" s="357"/>
      <c r="K309" s="357"/>
      <c r="L309" s="79"/>
      <c r="M309" s="10">
        <v>1.25</v>
      </c>
      <c r="O309" s="80" t="s">
        <v>16</v>
      </c>
      <c r="P309" s="13" t="s">
        <v>0</v>
      </c>
      <c r="Q309" s="14" t="s">
        <v>63</v>
      </c>
      <c r="R309" s="115" t="s">
        <v>121</v>
      </c>
      <c r="S309" s="118" t="s">
        <v>122</v>
      </c>
      <c r="T309" s="118" t="s">
        <v>1</v>
      </c>
      <c r="Z309" s="81"/>
      <c r="AA309" s="81"/>
      <c r="AB309" s="81"/>
    </row>
    <row r="310" spans="2:28" ht="40.5" customHeight="1" thickBot="1" x14ac:dyDescent="0.3">
      <c r="B310" s="351" t="s">
        <v>61</v>
      </c>
      <c r="C310" s="351" t="s">
        <v>17</v>
      </c>
      <c r="D310" s="351" t="s">
        <v>23</v>
      </c>
      <c r="E310" s="351" t="s">
        <v>207</v>
      </c>
      <c r="F310" s="351" t="s">
        <v>19</v>
      </c>
      <c r="G310" s="361" t="s">
        <v>28</v>
      </c>
      <c r="H310" s="362"/>
      <c r="I310" s="363"/>
      <c r="J310" s="353" t="s">
        <v>26</v>
      </c>
      <c r="K310" s="354"/>
      <c r="L310" s="358" t="s">
        <v>60</v>
      </c>
      <c r="M310" s="358" t="s">
        <v>35</v>
      </c>
      <c r="O310" s="73" t="s">
        <v>8</v>
      </c>
      <c r="P310" s="84">
        <v>0.24412125772985199</v>
      </c>
      <c r="Q310" s="75">
        <v>110</v>
      </c>
      <c r="R310" s="116">
        <v>12</v>
      </c>
      <c r="S310" s="119">
        <f>R310</f>
        <v>12</v>
      </c>
      <c r="T310" s="120" t="s">
        <v>12</v>
      </c>
    </row>
    <row r="311" spans="2:28" ht="30" x14ac:dyDescent="0.25">
      <c r="B311" s="352"/>
      <c r="C311" s="352"/>
      <c r="D311" s="352"/>
      <c r="E311" s="364"/>
      <c r="F311" s="352"/>
      <c r="G311" s="16" t="s">
        <v>27</v>
      </c>
      <c r="H311" s="16" t="s">
        <v>29</v>
      </c>
      <c r="I311" s="16" t="s">
        <v>192</v>
      </c>
      <c r="J311" s="16" t="s">
        <v>25</v>
      </c>
      <c r="K311" s="17" t="s">
        <v>24</v>
      </c>
      <c r="L311" s="359"/>
      <c r="M311" s="359"/>
      <c r="O311" s="26" t="s">
        <v>64</v>
      </c>
      <c r="P311" s="26" t="s">
        <v>65</v>
      </c>
      <c r="Q311" s="26" t="s">
        <v>66</v>
      </c>
      <c r="R311" s="26" t="s">
        <v>120</v>
      </c>
      <c r="S311" s="117" t="s">
        <v>123</v>
      </c>
      <c r="T311" s="371" t="s">
        <v>67</v>
      </c>
      <c r="U311" s="366"/>
      <c r="V311" s="366"/>
      <c r="W311" s="366"/>
      <c r="X311" s="366"/>
      <c r="Y311" s="367"/>
    </row>
    <row r="312" spans="2:28" x14ac:dyDescent="0.25">
      <c r="B312" s="24">
        <v>1</v>
      </c>
      <c r="C312" s="27">
        <v>10.81</v>
      </c>
      <c r="D312" s="50">
        <v>0</v>
      </c>
      <c r="E312" s="50"/>
      <c r="F312" s="33" t="s">
        <v>20</v>
      </c>
      <c r="G312" s="1">
        <v>0</v>
      </c>
      <c r="H312" s="33" t="s">
        <v>20</v>
      </c>
      <c r="I312" s="128" t="s">
        <v>188</v>
      </c>
      <c r="J312" s="1">
        <v>0</v>
      </c>
      <c r="K312" s="25">
        <v>0</v>
      </c>
      <c r="L312" s="51">
        <f>1402.63</f>
        <v>1402.63</v>
      </c>
      <c r="M312" s="25">
        <f t="shared" ref="M312:M317" si="63">L312*$M$287</f>
        <v>1753.2875000000001</v>
      </c>
      <c r="O312" s="28" t="s">
        <v>69</v>
      </c>
      <c r="P312" s="33"/>
      <c r="Q312" s="33"/>
      <c r="R312" s="25">
        <f>M312</f>
        <v>1753.2875000000001</v>
      </c>
      <c r="S312" s="32">
        <f t="shared" ref="S312:S317" si="64">IF($R$310=$S$310,$S$310,IF(RIGHT(O312)&gt;=RIGHT(S$307),$S$310,$R$310))</f>
        <v>12</v>
      </c>
      <c r="T312" s="33"/>
      <c r="U312" s="33"/>
      <c r="V312" s="33"/>
      <c r="W312" s="33"/>
      <c r="X312" s="33"/>
      <c r="Y312" s="33"/>
    </row>
    <row r="313" spans="2:28" x14ac:dyDescent="0.25">
      <c r="B313" s="24">
        <v>2</v>
      </c>
      <c r="C313" s="41">
        <f>ROUND($C$312*(1-D313),2)</f>
        <v>9.81</v>
      </c>
      <c r="D313" s="50">
        <v>9.264853977844914E-2</v>
      </c>
      <c r="E313" s="50"/>
      <c r="F313" s="33" t="s">
        <v>133</v>
      </c>
      <c r="G313" s="25">
        <v>52.378320000000002</v>
      </c>
      <c r="H313" s="33" t="s">
        <v>31</v>
      </c>
      <c r="I313" s="128" t="s">
        <v>175</v>
      </c>
      <c r="J313" s="1">
        <v>10.18</v>
      </c>
      <c r="K313" s="25">
        <f>K312+J313</f>
        <v>10.18</v>
      </c>
      <c r="L313" s="85">
        <f>$L$312+K313</f>
        <v>1412.8100000000002</v>
      </c>
      <c r="M313" s="25">
        <f t="shared" si="63"/>
        <v>1766.0125000000003</v>
      </c>
      <c r="O313" s="28" t="s">
        <v>15</v>
      </c>
      <c r="P313" s="29">
        <v>7.0000000000000007E-2</v>
      </c>
      <c r="Q313" s="31">
        <f>K313</f>
        <v>10.18</v>
      </c>
      <c r="R313" s="83">
        <f>Q313*$M$309</f>
        <v>12.725</v>
      </c>
      <c r="S313" s="32">
        <f t="shared" si="64"/>
        <v>12</v>
      </c>
      <c r="T313" s="33"/>
      <c r="U313" s="33"/>
      <c r="V313" s="33"/>
      <c r="W313" s="33"/>
      <c r="X313" s="33"/>
      <c r="Y313" s="33"/>
    </row>
    <row r="314" spans="2:28" x14ac:dyDescent="0.25">
      <c r="B314" s="24">
        <v>3</v>
      </c>
      <c r="C314" s="41">
        <f>ROUND($C$312*(1-D314),2)</f>
        <v>8.89</v>
      </c>
      <c r="D314" s="50">
        <v>0.17724068479355487</v>
      </c>
      <c r="E314" s="50"/>
      <c r="F314" s="33" t="s">
        <v>134</v>
      </c>
      <c r="G314" s="25">
        <v>315.9174855000694</v>
      </c>
      <c r="H314" s="33" t="s">
        <v>30</v>
      </c>
      <c r="I314" s="128" t="s">
        <v>175</v>
      </c>
      <c r="J314" s="133">
        <f>G314*1.05^((LOG(5.5/4.7)/LOG(1.02)))-G314</f>
        <v>149.41793431794622</v>
      </c>
      <c r="K314" s="25">
        <f>K313+J314</f>
        <v>159.59793431794623</v>
      </c>
      <c r="L314" s="85">
        <f>$L$312+K314</f>
        <v>1562.2279343179464</v>
      </c>
      <c r="M314" s="25">
        <f t="shared" si="63"/>
        <v>1952.7849178974329</v>
      </c>
      <c r="O314" s="28" t="s">
        <v>2</v>
      </c>
      <c r="P314" s="29">
        <v>0.15</v>
      </c>
      <c r="Q314" s="30">
        <f>K313+(K314-K313)*(P314-D313)/(D314-D313)</f>
        <v>111.48180189770281</v>
      </c>
      <c r="R314" s="83">
        <f>Q314*$M$309</f>
        <v>139.3522523721285</v>
      </c>
      <c r="S314" s="32">
        <f t="shared" si="64"/>
        <v>12</v>
      </c>
      <c r="T314" s="33"/>
      <c r="U314" s="33"/>
      <c r="V314" s="33"/>
      <c r="W314" s="33"/>
      <c r="X314" s="33"/>
      <c r="Y314" s="33"/>
    </row>
    <row r="315" spans="2:28" x14ac:dyDescent="0.25">
      <c r="B315" s="24">
        <v>4</v>
      </c>
      <c r="C315" s="41">
        <f>ROUND($C$312*(1-D315),2)</f>
        <v>8.49</v>
      </c>
      <c r="D315" s="50">
        <v>0.21450151057401812</v>
      </c>
      <c r="E315" s="50"/>
      <c r="F315" s="33" t="s">
        <v>125</v>
      </c>
      <c r="G315" s="25">
        <v>19.450331788645869</v>
      </c>
      <c r="H315" s="33" t="s">
        <v>32</v>
      </c>
      <c r="I315" s="128" t="s">
        <v>175</v>
      </c>
      <c r="J315" s="1">
        <v>13.11</v>
      </c>
      <c r="K315" s="25">
        <f>K314+J315</f>
        <v>172.70793431794624</v>
      </c>
      <c r="L315" s="85">
        <f>$L$312+K315</f>
        <v>1575.3379343179463</v>
      </c>
      <c r="M315" s="25">
        <f t="shared" si="63"/>
        <v>1969.1724178974328</v>
      </c>
      <c r="O315" s="28" t="s">
        <v>3</v>
      </c>
      <c r="P315" s="29">
        <v>0.2</v>
      </c>
      <c r="Q315" s="30">
        <f>K314+(K315-K314)*(P315-D314)/(D315-D314)</f>
        <v>167.60566404767599</v>
      </c>
      <c r="R315" s="83">
        <f>Q315*$M$309</f>
        <v>209.50708005959498</v>
      </c>
      <c r="S315" s="32">
        <f t="shared" si="64"/>
        <v>12</v>
      </c>
      <c r="T315" s="33"/>
      <c r="U315" s="33"/>
      <c r="V315" s="33"/>
      <c r="W315" s="33"/>
      <c r="X315" s="33"/>
      <c r="Y315" s="33"/>
    </row>
    <row r="316" spans="2:28" x14ac:dyDescent="0.25">
      <c r="B316" s="24">
        <v>5</v>
      </c>
      <c r="C316" s="41">
        <f>ROUND($C$312*(1-D316),2)</f>
        <v>8.3000000000000007</v>
      </c>
      <c r="D316" s="50">
        <v>0.23262839879154076</v>
      </c>
      <c r="E316" s="50"/>
      <c r="F316" s="33" t="s">
        <v>135</v>
      </c>
      <c r="G316" s="25">
        <v>32.556031828169928</v>
      </c>
      <c r="H316" s="33" t="s">
        <v>32</v>
      </c>
      <c r="I316" s="128" t="s">
        <v>176</v>
      </c>
      <c r="J316" s="1">
        <v>6.47</v>
      </c>
      <c r="K316" s="25">
        <f>K315+J316</f>
        <v>179.17793431794624</v>
      </c>
      <c r="L316" s="85">
        <f>$L$312+K316</f>
        <v>1581.8079343179463</v>
      </c>
      <c r="M316" s="25">
        <f t="shared" si="63"/>
        <v>1977.2599178974328</v>
      </c>
      <c r="O316" s="28" t="s">
        <v>4</v>
      </c>
      <c r="P316" s="29">
        <v>0.25</v>
      </c>
      <c r="Q316" s="30">
        <f>U316-Y316</f>
        <v>438.18704550758929</v>
      </c>
      <c r="R316" s="83">
        <f>Q316*$M$309</f>
        <v>547.73380688448663</v>
      </c>
      <c r="S316" s="32">
        <f t="shared" si="64"/>
        <v>12</v>
      </c>
      <c r="T316" s="45">
        <f>D317</f>
        <v>0.2819738167170191</v>
      </c>
      <c r="U316" s="25">
        <f>K317</f>
        <v>494.6634671099082</v>
      </c>
      <c r="V316" s="45"/>
      <c r="W316" s="45">
        <f>T316-P316</f>
        <v>3.1973816717019099E-2</v>
      </c>
      <c r="X316" s="45">
        <f>D314-W316</f>
        <v>0.14526686807653577</v>
      </c>
      <c r="Y316" s="1">
        <f>(K314-K313)-(K314-K313)*(X316-D313)/(D314-D313)</f>
        <v>56.476421602318908</v>
      </c>
    </row>
    <row r="317" spans="2:28" ht="15.75" customHeight="1" x14ac:dyDescent="0.25">
      <c r="B317" s="24">
        <v>6</v>
      </c>
      <c r="C317" s="41">
        <f>ROUND($C$312*(1-D317),2)</f>
        <v>7.76</v>
      </c>
      <c r="D317" s="50">
        <v>0.2819738167170191</v>
      </c>
      <c r="E317" s="50"/>
      <c r="F317" s="33" t="s">
        <v>136</v>
      </c>
      <c r="G317" s="25">
        <v>315.48553279196193</v>
      </c>
      <c r="H317" s="33" t="s">
        <v>34</v>
      </c>
      <c r="I317" s="128" t="s">
        <v>176</v>
      </c>
      <c r="J317" s="1">
        <f>G317</f>
        <v>315.48553279196193</v>
      </c>
      <c r="K317" s="25">
        <f>K316+J317</f>
        <v>494.6634671099082</v>
      </c>
      <c r="L317" s="85">
        <f>$L$312+K317</f>
        <v>1897.2934671099083</v>
      </c>
      <c r="M317" s="25">
        <f t="shared" si="63"/>
        <v>2371.6168338873854</v>
      </c>
      <c r="O317" s="28" t="s">
        <v>5</v>
      </c>
      <c r="P317" s="86">
        <f>D317</f>
        <v>0.2819738167170191</v>
      </c>
      <c r="Q317" s="30">
        <f>K317</f>
        <v>494.6634671099082</v>
      </c>
      <c r="R317" s="83">
        <f>Q317*$M$309</f>
        <v>618.32933388738525</v>
      </c>
      <c r="S317" s="32">
        <f t="shared" si="64"/>
        <v>12</v>
      </c>
      <c r="T317" s="45"/>
      <c r="U317" s="25"/>
      <c r="V317" s="33"/>
      <c r="W317" s="45"/>
      <c r="X317" s="45"/>
      <c r="Y317" s="1"/>
    </row>
    <row r="319" spans="2:28" ht="19.5" thickBot="1" x14ac:dyDescent="0.35">
      <c r="O319" s="99" t="s">
        <v>184</v>
      </c>
    </row>
    <row r="320" spans="2:28" ht="15.75" thickBot="1" x14ac:dyDescent="0.3">
      <c r="O320" s="360" t="s">
        <v>69</v>
      </c>
      <c r="P320" s="360" t="s">
        <v>15</v>
      </c>
      <c r="Q320" s="360" t="s">
        <v>2</v>
      </c>
      <c r="R320" s="360" t="s">
        <v>3</v>
      </c>
      <c r="S320" s="360" t="s">
        <v>4</v>
      </c>
      <c r="T320" s="360" t="s">
        <v>5</v>
      </c>
      <c r="U320" s="360" t="s">
        <v>70</v>
      </c>
      <c r="V320" s="360" t="s">
        <v>150</v>
      </c>
      <c r="W320" s="360"/>
    </row>
    <row r="321" spans="15:23" ht="15.75" thickBot="1" x14ac:dyDescent="0.3">
      <c r="O321" s="360"/>
      <c r="P321" s="360"/>
      <c r="Q321" s="360"/>
      <c r="R321" s="360"/>
      <c r="S321" s="360"/>
      <c r="T321" s="360"/>
      <c r="U321" s="360"/>
      <c r="V321" s="4" t="s">
        <v>151</v>
      </c>
      <c r="W321" s="4" t="s">
        <v>152</v>
      </c>
    </row>
    <row r="322" spans="15:23" ht="15.75" thickBot="1" x14ac:dyDescent="0.3">
      <c r="O322" s="111">
        <f>Q312</f>
        <v>0</v>
      </c>
      <c r="P322" s="111">
        <f>Q313</f>
        <v>10.18</v>
      </c>
      <c r="Q322" s="111">
        <f>Q314</f>
        <v>111.48180189770281</v>
      </c>
      <c r="R322" s="112">
        <f>Q315</f>
        <v>167.60566404767599</v>
      </c>
      <c r="S322" s="111">
        <f>Q316</f>
        <v>438.18704550758929</v>
      </c>
      <c r="T322" s="111">
        <f>Q317</f>
        <v>494.6634671099082</v>
      </c>
      <c r="U322" s="111">
        <f>Q318</f>
        <v>0</v>
      </c>
      <c r="V322" s="113">
        <f>MAX(P312:P318)</f>
        <v>0.2819738167170191</v>
      </c>
      <c r="W322" s="111">
        <f>MAX(O322:T322)</f>
        <v>494.6634671099082</v>
      </c>
    </row>
  </sheetData>
  <mergeCells count="300">
    <mergeCell ref="E265:E266"/>
    <mergeCell ref="E288:E289"/>
    <mergeCell ref="E310:E311"/>
    <mergeCell ref="E31:E32"/>
    <mergeCell ref="E9:E10"/>
    <mergeCell ref="E73:E74"/>
    <mergeCell ref="E94:E95"/>
    <mergeCell ref="E115:E116"/>
    <mergeCell ref="E135:E136"/>
    <mergeCell ref="E155:E156"/>
    <mergeCell ref="E175:E176"/>
    <mergeCell ref="E197:E198"/>
    <mergeCell ref="C196:K196"/>
    <mergeCell ref="J135:K135"/>
    <mergeCell ref="J155:K155"/>
    <mergeCell ref="F175:F176"/>
    <mergeCell ref="J175:K175"/>
    <mergeCell ref="B240:C240"/>
    <mergeCell ref="B219:B220"/>
    <mergeCell ref="B155:B156"/>
    <mergeCell ref="B135:B136"/>
    <mergeCell ref="C174:K174"/>
    <mergeCell ref="C175:C176"/>
    <mergeCell ref="D175:D176"/>
    <mergeCell ref="C52:C53"/>
    <mergeCell ref="D52:D53"/>
    <mergeCell ref="F52:F53"/>
    <mergeCell ref="C30:K30"/>
    <mergeCell ref="J31:K31"/>
    <mergeCell ref="B92:C92"/>
    <mergeCell ref="C93:K93"/>
    <mergeCell ref="C72:K72"/>
    <mergeCell ref="C73:C74"/>
    <mergeCell ref="D73:D74"/>
    <mergeCell ref="F73:F74"/>
    <mergeCell ref="J73:K73"/>
    <mergeCell ref="T299:T300"/>
    <mergeCell ref="U299:U300"/>
    <mergeCell ref="V299:W299"/>
    <mergeCell ref="O320:O321"/>
    <mergeCell ref="P320:P321"/>
    <mergeCell ref="Q320:Q321"/>
    <mergeCell ref="R320:R321"/>
    <mergeCell ref="S320:S321"/>
    <mergeCell ref="T320:T321"/>
    <mergeCell ref="U320:U321"/>
    <mergeCell ref="V320:W320"/>
    <mergeCell ref="T311:Y311"/>
    <mergeCell ref="O299:O300"/>
    <mergeCell ref="P299:P300"/>
    <mergeCell ref="Q299:Q300"/>
    <mergeCell ref="R299:R300"/>
    <mergeCell ref="S299:S300"/>
    <mergeCell ref="T254:T255"/>
    <mergeCell ref="U254:U255"/>
    <mergeCell ref="V254:W254"/>
    <mergeCell ref="O276:O277"/>
    <mergeCell ref="P276:P277"/>
    <mergeCell ref="Q276:Q277"/>
    <mergeCell ref="R276:R277"/>
    <mergeCell ref="S276:S277"/>
    <mergeCell ref="T276:T277"/>
    <mergeCell ref="U276:U277"/>
    <mergeCell ref="V276:W276"/>
    <mergeCell ref="T266:Y266"/>
    <mergeCell ref="O254:O255"/>
    <mergeCell ref="P254:P255"/>
    <mergeCell ref="Q254:Q255"/>
    <mergeCell ref="R254:R255"/>
    <mergeCell ref="S254:S255"/>
    <mergeCell ref="T209:T210"/>
    <mergeCell ref="U209:U210"/>
    <mergeCell ref="V209:W209"/>
    <mergeCell ref="O231:O232"/>
    <mergeCell ref="P231:P232"/>
    <mergeCell ref="Q231:Q232"/>
    <mergeCell ref="R231:R232"/>
    <mergeCell ref="S231:S232"/>
    <mergeCell ref="T231:T232"/>
    <mergeCell ref="U231:U232"/>
    <mergeCell ref="V231:W231"/>
    <mergeCell ref="O209:O210"/>
    <mergeCell ref="P209:P210"/>
    <mergeCell ref="Q209:Q210"/>
    <mergeCell ref="R209:R210"/>
    <mergeCell ref="S209:S210"/>
    <mergeCell ref="T165:T166"/>
    <mergeCell ref="U165:U166"/>
    <mergeCell ref="V165:W165"/>
    <mergeCell ref="O187:O188"/>
    <mergeCell ref="P187:P188"/>
    <mergeCell ref="Q187:Q188"/>
    <mergeCell ref="R187:R188"/>
    <mergeCell ref="S187:S188"/>
    <mergeCell ref="T187:T188"/>
    <mergeCell ref="U187:U188"/>
    <mergeCell ref="V187:W187"/>
    <mergeCell ref="O165:O166"/>
    <mergeCell ref="P165:P166"/>
    <mergeCell ref="Q165:Q166"/>
    <mergeCell ref="R165:R166"/>
    <mergeCell ref="S165:S166"/>
    <mergeCell ref="S145:S146"/>
    <mergeCell ref="T145:T146"/>
    <mergeCell ref="U145:U146"/>
    <mergeCell ref="V145:W145"/>
    <mergeCell ref="O125:O126"/>
    <mergeCell ref="P125:P126"/>
    <mergeCell ref="Q125:Q126"/>
    <mergeCell ref="R125:R126"/>
    <mergeCell ref="S125:S126"/>
    <mergeCell ref="T125:T126"/>
    <mergeCell ref="T137:Y137"/>
    <mergeCell ref="O62:O63"/>
    <mergeCell ref="P62:P63"/>
    <mergeCell ref="Q62:Q63"/>
    <mergeCell ref="R62:R63"/>
    <mergeCell ref="S62:S63"/>
    <mergeCell ref="T62:T63"/>
    <mergeCell ref="U62:U63"/>
    <mergeCell ref="V62:W62"/>
    <mergeCell ref="T54:Y54"/>
    <mergeCell ref="T244:Y244"/>
    <mergeCell ref="T75:Y75"/>
    <mergeCell ref="T221:Y221"/>
    <mergeCell ref="T117:Y117"/>
    <mergeCell ref="O84:O85"/>
    <mergeCell ref="P84:P85"/>
    <mergeCell ref="Q84:Q85"/>
    <mergeCell ref="R84:R85"/>
    <mergeCell ref="S84:S85"/>
    <mergeCell ref="T84:T85"/>
    <mergeCell ref="U84:U85"/>
    <mergeCell ref="V84:W84"/>
    <mergeCell ref="O104:O105"/>
    <mergeCell ref="P104:P105"/>
    <mergeCell ref="Q104:Q105"/>
    <mergeCell ref="R104:R105"/>
    <mergeCell ref="S104:S105"/>
    <mergeCell ref="T104:T105"/>
    <mergeCell ref="U104:U105"/>
    <mergeCell ref="V104:W104"/>
    <mergeCell ref="U125:U126"/>
    <mergeCell ref="V125:W125"/>
    <mergeCell ref="O145:O146"/>
    <mergeCell ref="P145:P146"/>
    <mergeCell ref="B308:C308"/>
    <mergeCell ref="C309:K309"/>
    <mergeCell ref="B310:B311"/>
    <mergeCell ref="C310:C311"/>
    <mergeCell ref="D310:D311"/>
    <mergeCell ref="F310:F311"/>
    <mergeCell ref="J310:K310"/>
    <mergeCell ref="L310:L311"/>
    <mergeCell ref="M310:M311"/>
    <mergeCell ref="G310:I310"/>
    <mergeCell ref="L288:L289"/>
    <mergeCell ref="T289:Y289"/>
    <mergeCell ref="L242:L243"/>
    <mergeCell ref="M9:M10"/>
    <mergeCell ref="M31:M32"/>
    <mergeCell ref="M52:M53"/>
    <mergeCell ref="M73:M74"/>
    <mergeCell ref="M135:M136"/>
    <mergeCell ref="M288:M289"/>
    <mergeCell ref="M155:M156"/>
    <mergeCell ref="M175:M176"/>
    <mergeCell ref="M197:M198"/>
    <mergeCell ref="M242:M243"/>
    <mergeCell ref="M265:M266"/>
    <mergeCell ref="L265:L266"/>
    <mergeCell ref="P21:P22"/>
    <mergeCell ref="Q21:Q22"/>
    <mergeCell ref="R21:R22"/>
    <mergeCell ref="S21:S22"/>
    <mergeCell ref="T21:T22"/>
    <mergeCell ref="V21:W21"/>
    <mergeCell ref="U21:U22"/>
    <mergeCell ref="O21:O22"/>
    <mergeCell ref="O42:O43"/>
    <mergeCell ref="J288:K288"/>
    <mergeCell ref="C241:K241"/>
    <mergeCell ref="C242:C243"/>
    <mergeCell ref="D242:D243"/>
    <mergeCell ref="F242:F243"/>
    <mergeCell ref="C287:K287"/>
    <mergeCell ref="C264:K264"/>
    <mergeCell ref="J242:K242"/>
    <mergeCell ref="J265:K265"/>
    <mergeCell ref="B263:C263"/>
    <mergeCell ref="B265:B266"/>
    <mergeCell ref="D265:D266"/>
    <mergeCell ref="F265:F266"/>
    <mergeCell ref="B242:B243"/>
    <mergeCell ref="B286:C286"/>
    <mergeCell ref="B288:B289"/>
    <mergeCell ref="C288:C289"/>
    <mergeCell ref="D288:D289"/>
    <mergeCell ref="F288:F289"/>
    <mergeCell ref="C265:C266"/>
    <mergeCell ref="G242:I242"/>
    <mergeCell ref="G265:I265"/>
    <mergeCell ref="G288:I288"/>
    <mergeCell ref="E242:E243"/>
    <mergeCell ref="C154:K154"/>
    <mergeCell ref="F155:F156"/>
    <mergeCell ref="E219:E220"/>
    <mergeCell ref="L9:L10"/>
    <mergeCell ref="B9:B10"/>
    <mergeCell ref="B7:C7"/>
    <mergeCell ref="L73:L74"/>
    <mergeCell ref="L155:L156"/>
    <mergeCell ref="C155:C156"/>
    <mergeCell ref="D155:D156"/>
    <mergeCell ref="B71:C71"/>
    <mergeCell ref="B73:B74"/>
    <mergeCell ref="B133:C133"/>
    <mergeCell ref="E52:E53"/>
    <mergeCell ref="G9:I9"/>
    <mergeCell ref="G31:I31"/>
    <mergeCell ref="G73:I73"/>
    <mergeCell ref="G52:I52"/>
    <mergeCell ref="G94:I94"/>
    <mergeCell ref="G115:I115"/>
    <mergeCell ref="G135:I135"/>
    <mergeCell ref="G155:I155"/>
    <mergeCell ref="C134:K134"/>
    <mergeCell ref="C31:C32"/>
    <mergeCell ref="T11:Y11"/>
    <mergeCell ref="B31:B32"/>
    <mergeCell ref="B29:C29"/>
    <mergeCell ref="L31:L32"/>
    <mergeCell ref="B52:B53"/>
    <mergeCell ref="B50:C50"/>
    <mergeCell ref="C51:K51"/>
    <mergeCell ref="C8:K8"/>
    <mergeCell ref="J9:K9"/>
    <mergeCell ref="C9:C10"/>
    <mergeCell ref="D9:D10"/>
    <mergeCell ref="F9:F10"/>
    <mergeCell ref="L52:L53"/>
    <mergeCell ref="T33:Y33"/>
    <mergeCell ref="J52:K52"/>
    <mergeCell ref="P42:P43"/>
    <mergeCell ref="Q42:Q43"/>
    <mergeCell ref="R42:R43"/>
    <mergeCell ref="S42:S43"/>
    <mergeCell ref="T42:T43"/>
    <mergeCell ref="U42:U43"/>
    <mergeCell ref="V42:W42"/>
    <mergeCell ref="D31:D32"/>
    <mergeCell ref="F31:F32"/>
    <mergeCell ref="T96:Y96"/>
    <mergeCell ref="B113:C113"/>
    <mergeCell ref="C114:K114"/>
    <mergeCell ref="B153:C153"/>
    <mergeCell ref="B94:B95"/>
    <mergeCell ref="C94:C95"/>
    <mergeCell ref="D94:D95"/>
    <mergeCell ref="F94:F95"/>
    <mergeCell ref="J94:K94"/>
    <mergeCell ref="L94:L95"/>
    <mergeCell ref="M94:M95"/>
    <mergeCell ref="B115:B116"/>
    <mergeCell ref="C115:C116"/>
    <mergeCell ref="D115:D116"/>
    <mergeCell ref="F115:F116"/>
    <mergeCell ref="J115:K115"/>
    <mergeCell ref="L115:L116"/>
    <mergeCell ref="M115:M116"/>
    <mergeCell ref="L135:L136"/>
    <mergeCell ref="C135:C136"/>
    <mergeCell ref="D135:D136"/>
    <mergeCell ref="F135:F136"/>
    <mergeCell ref="Q145:Q146"/>
    <mergeCell ref="R145:R146"/>
    <mergeCell ref="T157:Y157"/>
    <mergeCell ref="C219:C220"/>
    <mergeCell ref="D219:D220"/>
    <mergeCell ref="F219:F220"/>
    <mergeCell ref="J219:K219"/>
    <mergeCell ref="C197:C198"/>
    <mergeCell ref="D197:D198"/>
    <mergeCell ref="F197:F198"/>
    <mergeCell ref="J197:K197"/>
    <mergeCell ref="T199:Y199"/>
    <mergeCell ref="B217:C217"/>
    <mergeCell ref="C218:K218"/>
    <mergeCell ref="B173:C173"/>
    <mergeCell ref="B175:B176"/>
    <mergeCell ref="L175:L176"/>
    <mergeCell ref="T177:Y177"/>
    <mergeCell ref="B195:C195"/>
    <mergeCell ref="B197:B198"/>
    <mergeCell ref="L197:L198"/>
    <mergeCell ref="L219:L220"/>
    <mergeCell ref="M219:M220"/>
    <mergeCell ref="G197:I197"/>
    <mergeCell ref="G219:I219"/>
    <mergeCell ref="G175:I175"/>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N31"/>
  <sheetViews>
    <sheetView workbookViewId="0">
      <selection activeCell="D10" sqref="D10"/>
    </sheetView>
  </sheetViews>
  <sheetFormatPr defaultRowHeight="15" x14ac:dyDescent="0.25"/>
  <cols>
    <col min="1" max="1" width="18.28515625" bestFit="1" customWidth="1"/>
    <col min="2" max="2" width="23.42578125" bestFit="1" customWidth="1"/>
    <col min="3" max="3" width="22.5703125" bestFit="1" customWidth="1"/>
    <col min="4" max="4" width="28.28515625" customWidth="1"/>
    <col min="5" max="5" width="29.42578125" customWidth="1"/>
    <col min="19" max="19" width="23.42578125" bestFit="1" customWidth="1"/>
  </cols>
  <sheetData>
    <row r="1" spans="1:3" x14ac:dyDescent="0.25">
      <c r="A1" s="143" t="s">
        <v>208</v>
      </c>
    </row>
    <row r="2" spans="1:3" x14ac:dyDescent="0.25">
      <c r="A2" s="143"/>
    </row>
    <row r="3" spans="1:3" x14ac:dyDescent="0.25">
      <c r="A3" s="189" t="s">
        <v>145</v>
      </c>
      <c r="B3" s="189" t="s">
        <v>197</v>
      </c>
      <c r="C3" s="189" t="s">
        <v>198</v>
      </c>
    </row>
    <row r="4" spans="1:3" x14ac:dyDescent="0.25">
      <c r="A4" s="186" t="s">
        <v>48</v>
      </c>
      <c r="B4" s="187">
        <f>6.5/6.2</f>
        <v>1.0483870967741935</v>
      </c>
      <c r="C4" s="188">
        <v>1.4E-2</v>
      </c>
    </row>
    <row r="5" spans="1:3" x14ac:dyDescent="0.25">
      <c r="A5" s="186" t="s">
        <v>199</v>
      </c>
      <c r="B5" s="187">
        <f>6.9/6.5</f>
        <v>1.0615384615384615</v>
      </c>
      <c r="C5" s="188">
        <v>1.9E-2</v>
      </c>
    </row>
    <row r="25" spans="1:14" x14ac:dyDescent="0.25">
      <c r="A25" t="s">
        <v>200</v>
      </c>
    </row>
    <row r="26" spans="1:14" ht="60" x14ac:dyDescent="0.25">
      <c r="B26" t="s">
        <v>197</v>
      </c>
      <c r="C26" s="138" t="s">
        <v>201</v>
      </c>
      <c r="D26" s="138" t="s">
        <v>205</v>
      </c>
      <c r="E26" s="144" t="s">
        <v>206</v>
      </c>
    </row>
    <row r="27" spans="1:14" x14ac:dyDescent="0.25">
      <c r="A27" t="s">
        <v>37</v>
      </c>
      <c r="B27">
        <f>5.25/4.86</f>
        <v>1.0802469135802468</v>
      </c>
      <c r="C27" s="136">
        <v>6.2199999999999998E-2</v>
      </c>
      <c r="D27" s="137">
        <f>0.3802*B27-0.3846</f>
        <v>2.6109876543209842E-2</v>
      </c>
      <c r="E27" s="145">
        <f>0.6506*B27-0.6429</f>
        <v>5.9908641975308541E-2</v>
      </c>
    </row>
    <row r="28" spans="1:14" x14ac:dyDescent="0.25">
      <c r="A28" t="s">
        <v>48</v>
      </c>
      <c r="B28">
        <f>6.1/5.85</f>
        <v>1.0427350427350428</v>
      </c>
      <c r="C28" s="136">
        <v>3.5999999999999997E-2</v>
      </c>
      <c r="D28" s="137">
        <f>0.3802*B28-0.3846</f>
        <v>1.1847863247863244E-2</v>
      </c>
      <c r="E28" s="145">
        <f t="shared" ref="E28:E31" si="0">0.6506*B28-0.6429</f>
        <v>3.5503418803418785E-2</v>
      </c>
      <c r="N28" s="136"/>
    </row>
    <row r="29" spans="1:14" x14ac:dyDescent="0.25">
      <c r="A29" t="s">
        <v>48</v>
      </c>
      <c r="B29">
        <f>6.6/6.1</f>
        <v>1.0819672131147542</v>
      </c>
      <c r="C29" s="137">
        <f>9.7%-3.6%</f>
        <v>6.0999999999999985E-2</v>
      </c>
      <c r="D29" s="137">
        <f>0.3802*B29-0.3846</f>
        <v>2.6763934426229541E-2</v>
      </c>
      <c r="E29" s="145">
        <f t="shared" si="0"/>
        <v>6.1027868852459033E-2</v>
      </c>
      <c r="N29" s="136"/>
    </row>
    <row r="30" spans="1:14" x14ac:dyDescent="0.25">
      <c r="A30" t="s">
        <v>46</v>
      </c>
      <c r="B30">
        <f>6.1/5.85</f>
        <v>1.0427350427350428</v>
      </c>
      <c r="C30" s="136">
        <v>3.5000000000000003E-2</v>
      </c>
      <c r="D30" s="137">
        <f>0.3802*B30-0.3846</f>
        <v>1.1847863247863244E-2</v>
      </c>
      <c r="E30" s="145">
        <f t="shared" si="0"/>
        <v>3.5503418803418785E-2</v>
      </c>
    </row>
    <row r="31" spans="1:14" x14ac:dyDescent="0.25">
      <c r="A31" t="s">
        <v>46</v>
      </c>
      <c r="B31">
        <f>6.6/6.1</f>
        <v>1.0819672131147542</v>
      </c>
      <c r="C31" s="137">
        <f>9.4%-3.5%</f>
        <v>5.8999999999999997E-2</v>
      </c>
      <c r="D31" s="137">
        <f>0.3802*B31-0.3846</f>
        <v>2.6763934426229541E-2</v>
      </c>
      <c r="E31" s="145">
        <f t="shared" si="0"/>
        <v>6.1027868852459033E-2</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Y56"/>
  <sheetViews>
    <sheetView zoomScale="70" zoomScaleNormal="70" workbookViewId="0">
      <selection activeCell="Y22" sqref="Y22"/>
    </sheetView>
  </sheetViews>
  <sheetFormatPr defaultColWidth="9.140625" defaultRowHeight="15" x14ac:dyDescent="0.25"/>
  <cols>
    <col min="1" max="1" width="9.140625" style="98"/>
    <col min="2" max="2" width="22.85546875" style="98" customWidth="1"/>
    <col min="3" max="3" width="18.28515625" style="98" hidden="1" customWidth="1"/>
    <col min="4" max="4" width="31" style="98" hidden="1" customWidth="1"/>
    <col min="5" max="5" width="23" style="98" hidden="1" customWidth="1"/>
    <col min="6" max="6" width="21.85546875" style="98" hidden="1" customWidth="1"/>
    <col min="7" max="7" width="16.28515625" style="98" hidden="1" customWidth="1"/>
    <col min="8" max="8" width="16" style="98" hidden="1" customWidth="1"/>
    <col min="9" max="9" width="16.42578125" style="98" hidden="1" customWidth="1"/>
    <col min="10" max="12" width="9.140625" style="98" hidden="1" customWidth="1"/>
    <col min="13" max="13" width="11.140625" style="98" hidden="1" customWidth="1"/>
    <col min="14" max="16" width="9.140625" style="98"/>
    <col min="17" max="17" width="10.7109375" style="98" bestFit="1" customWidth="1"/>
    <col min="18" max="18" width="18.28515625" style="98" customWidth="1"/>
    <col min="19" max="19" width="18.85546875" style="98" customWidth="1"/>
    <col min="20" max="16384" width="9.140625" style="98"/>
  </cols>
  <sheetData>
    <row r="1" spans="1:25" ht="21" x14ac:dyDescent="0.35">
      <c r="A1" s="88" t="s">
        <v>169</v>
      </c>
      <c r="B1" s="5"/>
      <c r="C1" s="5"/>
      <c r="D1" s="5"/>
      <c r="E1" s="5"/>
      <c r="F1" s="5"/>
      <c r="G1" s="5"/>
      <c r="H1" s="5"/>
      <c r="I1" s="5"/>
      <c r="J1" s="5"/>
      <c r="K1" s="5"/>
      <c r="L1" s="5"/>
      <c r="M1" s="5"/>
      <c r="N1" s="5"/>
      <c r="O1" s="5"/>
      <c r="P1" s="5"/>
      <c r="Q1" s="5"/>
      <c r="R1" s="5"/>
      <c r="S1" s="5"/>
    </row>
    <row r="2" spans="1:25" ht="18.75" x14ac:dyDescent="0.3">
      <c r="A2" s="89" t="s">
        <v>170</v>
      </c>
      <c r="B2" s="5"/>
      <c r="C2" s="5"/>
      <c r="D2" s="5"/>
      <c r="E2" s="5"/>
      <c r="F2" s="5"/>
      <c r="G2" s="5"/>
      <c r="H2" s="5"/>
      <c r="I2" s="5"/>
      <c r="J2" s="5"/>
      <c r="K2" s="5"/>
      <c r="L2" s="5"/>
      <c r="M2" s="5"/>
      <c r="N2" s="5"/>
      <c r="O2" s="5"/>
      <c r="P2" s="5"/>
      <c r="Q2" s="5"/>
      <c r="R2" s="5"/>
      <c r="S2" s="5"/>
    </row>
    <row r="3" spans="1:25" ht="18.75" x14ac:dyDescent="0.3">
      <c r="A3" s="90" t="s">
        <v>181</v>
      </c>
      <c r="B3" s="5"/>
      <c r="C3" s="5"/>
      <c r="D3" s="5"/>
      <c r="E3" s="5"/>
      <c r="F3" s="5"/>
      <c r="G3" s="5"/>
      <c r="H3" s="5"/>
      <c r="I3" s="5"/>
      <c r="J3" s="5"/>
      <c r="K3" s="5"/>
      <c r="L3" s="5"/>
      <c r="M3" s="5"/>
      <c r="N3" s="5"/>
      <c r="O3" s="5"/>
      <c r="P3" s="5"/>
      <c r="Q3" s="5"/>
      <c r="R3" s="5"/>
      <c r="S3" s="5"/>
    </row>
    <row r="4" spans="1:25" x14ac:dyDescent="0.25">
      <c r="A4" s="5"/>
      <c r="B4" s="5"/>
      <c r="C4" s="5"/>
      <c r="D4" s="5"/>
      <c r="E4" s="5"/>
      <c r="F4" s="5"/>
      <c r="G4" s="5"/>
      <c r="H4" s="5"/>
      <c r="I4" s="5"/>
      <c r="J4" s="5"/>
      <c r="K4" s="5"/>
      <c r="L4" s="5"/>
      <c r="M4" s="5"/>
      <c r="N4" s="5"/>
      <c r="O4" s="5"/>
      <c r="P4" s="5"/>
      <c r="Q4" s="5"/>
      <c r="R4" s="5"/>
      <c r="S4" s="5"/>
    </row>
    <row r="5" spans="1:25" x14ac:dyDescent="0.25">
      <c r="A5" s="5"/>
      <c r="B5" s="129" t="s">
        <v>144</v>
      </c>
      <c r="C5" s="5"/>
      <c r="D5" s="5"/>
      <c r="E5" s="5"/>
      <c r="F5" s="5"/>
      <c r="G5" s="5"/>
      <c r="H5" s="5"/>
      <c r="I5" s="5" t="s">
        <v>195</v>
      </c>
      <c r="J5" s="5"/>
      <c r="K5" s="5"/>
      <c r="L5" s="5"/>
      <c r="M5" s="5"/>
      <c r="N5" s="5"/>
      <c r="O5" s="5"/>
      <c r="P5" s="5"/>
      <c r="Q5" s="5"/>
      <c r="R5" s="5"/>
      <c r="S5" s="5"/>
    </row>
    <row r="6" spans="1:25" x14ac:dyDescent="0.25">
      <c r="A6" s="5"/>
      <c r="B6" s="129"/>
      <c r="C6" s="5"/>
      <c r="D6" s="5"/>
      <c r="E6" s="5"/>
      <c r="F6" s="5"/>
      <c r="G6" s="5"/>
      <c r="H6" s="5"/>
      <c r="I6" s="5"/>
      <c r="J6" s="5"/>
      <c r="K6" s="5"/>
      <c r="L6" s="5"/>
      <c r="M6" s="5"/>
      <c r="N6" s="5"/>
      <c r="O6" s="5"/>
      <c r="P6" s="5"/>
      <c r="Q6" s="5"/>
      <c r="R6" s="5"/>
      <c r="S6" s="5"/>
    </row>
    <row r="7" spans="1:25" ht="39" customHeight="1" x14ac:dyDescent="0.25">
      <c r="A7" s="5"/>
      <c r="B7" s="374" t="s">
        <v>145</v>
      </c>
      <c r="C7" s="374" t="s">
        <v>0</v>
      </c>
      <c r="D7" s="374" t="s">
        <v>149</v>
      </c>
      <c r="E7" s="374" t="s">
        <v>148</v>
      </c>
      <c r="F7" s="374" t="s">
        <v>1</v>
      </c>
      <c r="G7" s="374" t="s">
        <v>146</v>
      </c>
      <c r="H7" s="374" t="s">
        <v>147</v>
      </c>
      <c r="I7" s="374" t="s">
        <v>15</v>
      </c>
      <c r="J7" s="374" t="s">
        <v>2</v>
      </c>
      <c r="K7" s="374" t="s">
        <v>3</v>
      </c>
      <c r="L7" s="374" t="s">
        <v>4</v>
      </c>
      <c r="M7" s="374" t="s">
        <v>5</v>
      </c>
      <c r="N7" s="374" t="s">
        <v>210</v>
      </c>
      <c r="O7" s="374"/>
      <c r="P7" s="374" t="s">
        <v>209</v>
      </c>
      <c r="Q7" s="374"/>
      <c r="R7" s="374" t="s">
        <v>211</v>
      </c>
      <c r="S7" s="374"/>
    </row>
    <row r="8" spans="1:25" ht="45" x14ac:dyDescent="0.25">
      <c r="A8" s="5"/>
      <c r="B8" s="374"/>
      <c r="C8" s="374"/>
      <c r="D8" s="374"/>
      <c r="E8" s="374"/>
      <c r="F8" s="374"/>
      <c r="G8" s="374"/>
      <c r="H8" s="374"/>
      <c r="I8" s="374"/>
      <c r="J8" s="374"/>
      <c r="K8" s="374"/>
      <c r="L8" s="374"/>
      <c r="M8" s="374"/>
      <c r="N8" s="224" t="s">
        <v>151</v>
      </c>
      <c r="O8" s="224" t="s">
        <v>152</v>
      </c>
      <c r="P8" s="224" t="s">
        <v>151</v>
      </c>
      <c r="Q8" s="224" t="s">
        <v>152</v>
      </c>
      <c r="R8" s="224" t="s">
        <v>212</v>
      </c>
      <c r="S8" s="224" t="s">
        <v>213</v>
      </c>
    </row>
    <row r="9" spans="1:25" ht="15.75" customHeight="1" x14ac:dyDescent="0.25">
      <c r="A9" s="5"/>
      <c r="B9" s="376" t="s">
        <v>6</v>
      </c>
      <c r="C9" s="376"/>
      <c r="D9" s="376"/>
      <c r="E9" s="376"/>
      <c r="F9" s="376"/>
      <c r="G9" s="376"/>
      <c r="H9" s="376"/>
      <c r="I9" s="376"/>
      <c r="J9" s="376"/>
      <c r="K9" s="376"/>
      <c r="L9" s="376"/>
      <c r="M9" s="376"/>
      <c r="N9" s="376"/>
      <c r="O9" s="376"/>
      <c r="P9" s="376"/>
      <c r="Q9" s="376"/>
      <c r="R9" s="376"/>
      <c r="S9" s="376"/>
    </row>
    <row r="10" spans="1:25" ht="15.75" customHeight="1" x14ac:dyDescent="0.25">
      <c r="A10" s="5"/>
      <c r="B10" s="245" t="s">
        <v>8</v>
      </c>
      <c r="C10" s="246">
        <f>'Design Option Curves'!P74</f>
        <v>0.22012812180856003</v>
      </c>
      <c r="D10" s="247">
        <f>'Design Option Curves'!Q74</f>
        <v>300</v>
      </c>
      <c r="E10" s="248">
        <f>'Design Option Curves'!R74</f>
        <v>24</v>
      </c>
      <c r="F10" s="247">
        <f>'Design Option Curves'!T74</f>
        <v>152.55000000000001</v>
      </c>
      <c r="G10" s="249">
        <f>'Design Option Curves'!L75</f>
        <v>892.62</v>
      </c>
      <c r="H10" s="249">
        <f>'Design Option Curves'!M75</f>
        <v>1115.7750000000001</v>
      </c>
      <c r="I10" s="250">
        <f>'Design Option Curves'!P86</f>
        <v>111.08919098275007</v>
      </c>
      <c r="J10" s="250">
        <f>'Design Option Curves'!Q86</f>
        <v>112.33738413985958</v>
      </c>
      <c r="K10" s="250">
        <f>'Design Option Curves'!R86</f>
        <v>142.33738413985958</v>
      </c>
      <c r="L10" s="250">
        <f>'Design Option Curves'!S86</f>
        <v>177.08</v>
      </c>
      <c r="M10" s="250"/>
      <c r="N10" s="246">
        <f>'Design Option Curves'!V86</f>
        <v>0.18298555377207068</v>
      </c>
      <c r="O10" s="251">
        <f>'Design Option Curves'!W86</f>
        <v>387.07738413985959</v>
      </c>
      <c r="P10" s="246">
        <v>0.29373996789727125</v>
      </c>
      <c r="Q10" s="251">
        <v>370.48</v>
      </c>
      <c r="R10" s="246">
        <f>P10-N10</f>
        <v>0.11075441412520057</v>
      </c>
      <c r="S10" s="251">
        <f>O10-Q10</f>
        <v>16.597384139859571</v>
      </c>
      <c r="W10" s="291"/>
      <c r="Y10" s="291"/>
    </row>
    <row r="11" spans="1:25" ht="15.75" customHeight="1" x14ac:dyDescent="0.25">
      <c r="A11" s="5"/>
      <c r="B11" s="245" t="s">
        <v>9</v>
      </c>
      <c r="C11" s="246">
        <f>'Design Option Curves'!P95</f>
        <v>0.15724563206577605</v>
      </c>
      <c r="D11" s="247">
        <f>'Design Option Curves'!Q95</f>
        <v>850</v>
      </c>
      <c r="E11" s="248">
        <f>'Design Option Curves'!R95</f>
        <v>19.7</v>
      </c>
      <c r="F11" s="247">
        <f>'Design Option Curves'!T95</f>
        <v>153</v>
      </c>
      <c r="G11" s="249">
        <f>'Design Option Curves'!L96</f>
        <v>1535.86</v>
      </c>
      <c r="H11" s="249">
        <f>'Design Option Curves'!M96</f>
        <v>1919.8249999999998</v>
      </c>
      <c r="I11" s="250">
        <f>'Design Option Curves'!P106</f>
        <v>246.66822812928635</v>
      </c>
      <c r="J11" s="250">
        <f>'Design Option Curves'!Q106</f>
        <v>215.68748289043185</v>
      </c>
      <c r="K11" s="250">
        <f>'Design Option Curves'!R106</f>
        <v>408.27698289043167</v>
      </c>
      <c r="L11" s="250"/>
      <c r="M11" s="252"/>
      <c r="N11" s="246">
        <f>'Design Option Curves'!V106</f>
        <v>0.17740000667868819</v>
      </c>
      <c r="O11" s="251">
        <f>'Design Option Curves'!W106</f>
        <v>426.56003464688325</v>
      </c>
      <c r="P11" s="246">
        <v>0.21325051759834374</v>
      </c>
      <c r="Q11" s="251">
        <v>288.10000000000002</v>
      </c>
      <c r="R11" s="246">
        <f t="shared" ref="R11:R13" si="0">P11-N11</f>
        <v>3.5850510919655548E-2</v>
      </c>
      <c r="S11" s="251">
        <f t="shared" ref="S11:S13" si="1">O11-Q11</f>
        <v>138.46003464688323</v>
      </c>
      <c r="W11" s="291"/>
      <c r="Y11" s="291"/>
    </row>
    <row r="12" spans="1:25" ht="15.75" customHeight="1" x14ac:dyDescent="0.25">
      <c r="A12" s="5"/>
      <c r="B12" s="380" t="s">
        <v>10</v>
      </c>
      <c r="C12" s="253">
        <f>'Design Option Curves'!P116</f>
        <v>7.4999999999999997E-2</v>
      </c>
      <c r="D12" s="254">
        <f>'Design Option Curves'!Q116</f>
        <v>1500</v>
      </c>
      <c r="E12" s="255">
        <f>'Design Option Curves'!R116</f>
        <v>22.3</v>
      </c>
      <c r="F12" s="253" t="str">
        <f>'Design Option Curves'!T116</f>
        <v>NA</v>
      </c>
      <c r="G12" s="256">
        <f>'Design Option Curves'!L117</f>
        <v>1698.6392241690028</v>
      </c>
      <c r="H12" s="256">
        <f>'Design Option Curves'!M117</f>
        <v>2123.2990302112535</v>
      </c>
      <c r="I12" s="257">
        <f>'Design Option Curves'!P127</f>
        <v>233.00132619151742</v>
      </c>
      <c r="J12" s="257">
        <f>'Design Option Curves'!Q127</f>
        <v>546.53145252904369</v>
      </c>
      <c r="K12" s="257"/>
      <c r="L12" s="258"/>
      <c r="M12" s="258"/>
      <c r="N12" s="253">
        <f>'Design Option Curves'!V127</f>
        <v>0.14633774328345817</v>
      </c>
      <c r="O12" s="259">
        <f>'Design Option Curves'!W127</f>
        <v>537.02247260264858</v>
      </c>
      <c r="P12" s="253">
        <v>0.1666666666666666</v>
      </c>
      <c r="Q12" s="259">
        <v>402.4382269778713</v>
      </c>
      <c r="R12" s="246">
        <f t="shared" si="0"/>
        <v>2.0328923383208436E-2</v>
      </c>
      <c r="S12" s="251">
        <f t="shared" si="1"/>
        <v>134.58424562477728</v>
      </c>
      <c r="W12" s="291"/>
      <c r="Y12" s="291"/>
    </row>
    <row r="13" spans="1:25" ht="15.75" customHeight="1" x14ac:dyDescent="0.25">
      <c r="A13" s="5"/>
      <c r="B13" s="380"/>
      <c r="C13" s="260">
        <f>'Design Option Curves'!P136</f>
        <v>8.2500000000000018E-2</v>
      </c>
      <c r="D13" s="261">
        <f>'Design Option Curves'!Q136</f>
        <v>2600</v>
      </c>
      <c r="E13" s="262">
        <f>'Design Option Curves'!R136</f>
        <v>19.7</v>
      </c>
      <c r="F13" s="261">
        <f>'Design Option Curves'!T136</f>
        <v>174</v>
      </c>
      <c r="G13" s="249">
        <f>'Design Option Curves'!L137</f>
        <v>3725.17</v>
      </c>
      <c r="H13" s="249">
        <f>'Design Option Curves'!M137</f>
        <v>4656.4624999999996</v>
      </c>
      <c r="I13" s="263">
        <f>'Design Option Curves'!P147</f>
        <v>106.75998921874788</v>
      </c>
      <c r="J13" s="263">
        <f>'Design Option Curves'!Q147</f>
        <v>540.61099207280188</v>
      </c>
      <c r="K13" s="263"/>
      <c r="L13" s="252"/>
      <c r="M13" s="252"/>
      <c r="N13" s="260">
        <f>'Design Option Curves'!V147</f>
        <v>0.13555148614949111</v>
      </c>
      <c r="O13" s="264">
        <f>'Design Option Curves'!W147</f>
        <v>566.11998921874783</v>
      </c>
      <c r="P13" s="260">
        <v>0.15461346633416451</v>
      </c>
      <c r="Q13" s="264">
        <v>523.78</v>
      </c>
      <c r="R13" s="246">
        <f t="shared" si="0"/>
        <v>1.9061980184673394E-2</v>
      </c>
      <c r="S13" s="251">
        <f t="shared" si="1"/>
        <v>42.33998921874786</v>
      </c>
      <c r="W13" s="291"/>
      <c r="Y13" s="291"/>
    </row>
    <row r="14" spans="1:25" ht="15.75" customHeight="1" x14ac:dyDescent="0.25">
      <c r="A14" s="5"/>
      <c r="B14" s="377" t="s">
        <v>11</v>
      </c>
      <c r="C14" s="377"/>
      <c r="D14" s="377"/>
      <c r="E14" s="377"/>
      <c r="F14" s="377"/>
      <c r="G14" s="377"/>
      <c r="H14" s="377"/>
      <c r="I14" s="377"/>
      <c r="J14" s="377"/>
      <c r="K14" s="377"/>
      <c r="L14" s="377"/>
      <c r="M14" s="377"/>
      <c r="N14" s="377"/>
      <c r="O14" s="377"/>
      <c r="P14" s="377"/>
      <c r="Q14" s="377"/>
      <c r="R14" s="377"/>
      <c r="S14" s="377"/>
      <c r="W14" s="291"/>
      <c r="Y14" s="291"/>
    </row>
    <row r="15" spans="1:25" ht="15.75" customHeight="1" x14ac:dyDescent="0.25">
      <c r="A15" s="5"/>
      <c r="B15" s="245" t="s">
        <v>8</v>
      </c>
      <c r="C15" s="265">
        <f>'Design Option Curves'!P10</f>
        <v>0.23586347427407034</v>
      </c>
      <c r="D15" s="266">
        <f>'Design Option Curves'!Q10</f>
        <v>300</v>
      </c>
      <c r="E15" s="267">
        <f>'Design Option Curves'!R10</f>
        <v>25.6</v>
      </c>
      <c r="F15" s="267" t="str">
        <f>'Design Option Curves'!T10</f>
        <v>NA</v>
      </c>
      <c r="G15" s="256">
        <f>'Design Option Curves'!L11</f>
        <v>910.07</v>
      </c>
      <c r="H15" s="256">
        <f>'Design Option Curves'!M11</f>
        <v>1137.5875000000001</v>
      </c>
      <c r="I15" s="250">
        <f>'Design Option Curves'!P23</f>
        <v>127.06574899118053</v>
      </c>
      <c r="J15" s="250">
        <f>'Design Option Curves'!Q23</f>
        <v>246.59374899118052</v>
      </c>
      <c r="K15" s="250">
        <f>'Design Option Curves'!R23</f>
        <v>246.59374899118052</v>
      </c>
      <c r="L15" s="250">
        <f>'Design Option Curves'!S23</f>
        <v>107.06</v>
      </c>
      <c r="M15" s="250">
        <f>'Design Option Curves'!T23</f>
        <v>372.20908232451347</v>
      </c>
      <c r="N15" s="246">
        <f>'Design Option Curves'!V23</f>
        <v>0.18532338308457702</v>
      </c>
      <c r="O15" s="251">
        <f>'Design Option Curves'!W23</f>
        <v>372.20908232451347</v>
      </c>
      <c r="P15" s="246">
        <v>0.31343283582089548</v>
      </c>
      <c r="Q15" s="251">
        <v>324.45</v>
      </c>
      <c r="R15" s="246">
        <f t="shared" ref="R15:R17" si="2">P15-N15</f>
        <v>0.12810945273631846</v>
      </c>
      <c r="S15" s="251">
        <f t="shared" ref="S15:S17" si="3">O15-Q15</f>
        <v>47.759082324513486</v>
      </c>
      <c r="W15" s="291"/>
      <c r="Y15" s="291"/>
    </row>
    <row r="16" spans="1:25" ht="15.75" customHeight="1" x14ac:dyDescent="0.25">
      <c r="A16" s="5"/>
      <c r="B16" s="380" t="s">
        <v>10</v>
      </c>
      <c r="C16" s="233">
        <f>'Design Option Curves'!P32</f>
        <v>0.20723006183605511</v>
      </c>
      <c r="D16" s="268">
        <f>'Design Option Curves'!Q32</f>
        <v>800</v>
      </c>
      <c r="E16" s="269">
        <f>'Design Option Curves'!R32</f>
        <v>22.7</v>
      </c>
      <c r="F16" s="270" t="str">
        <f>'Design Option Curves'!T32</f>
        <v>NA</v>
      </c>
      <c r="G16" s="256">
        <f>'Design Option Curves'!L33</f>
        <v>1485.08</v>
      </c>
      <c r="H16" s="256">
        <f>'Design Option Curves'!M33</f>
        <v>1856.35</v>
      </c>
      <c r="I16" s="271">
        <f>'Design Option Curves'!P44</f>
        <v>47.929605669474888</v>
      </c>
      <c r="J16" s="271">
        <f>'Design Option Curves'!Q44</f>
        <v>161.87081433861357</v>
      </c>
      <c r="K16" s="271">
        <f>'Design Option Curves'!R44</f>
        <v>310.01929192093041</v>
      </c>
      <c r="L16" s="271">
        <f>'Design Option Curves'!S44</f>
        <v>465.30563808218687</v>
      </c>
      <c r="M16" s="271"/>
      <c r="N16" s="233">
        <f>'Design Option Curves'!V44</f>
        <v>0.25299563888434035</v>
      </c>
      <c r="O16" s="234">
        <f>'Design Option Curves'!W44</f>
        <v>482.60112719719365</v>
      </c>
      <c r="P16" s="233">
        <v>0.29441624365482238</v>
      </c>
      <c r="Q16" s="234">
        <v>355.65999999999997</v>
      </c>
      <c r="R16" s="246">
        <f t="shared" si="2"/>
        <v>4.1420604770482039E-2</v>
      </c>
      <c r="S16" s="251">
        <f t="shared" si="3"/>
        <v>126.94112719719368</v>
      </c>
      <c r="W16" s="291"/>
      <c r="Y16" s="291"/>
    </row>
    <row r="17" spans="1:25" ht="15.75" customHeight="1" x14ac:dyDescent="0.25">
      <c r="A17" s="5"/>
      <c r="B17" s="380"/>
      <c r="C17" s="233">
        <f>'Design Option Curves'!P53</f>
        <v>0.167239943517144</v>
      </c>
      <c r="D17" s="268">
        <f>'Design Option Curves'!Q53</f>
        <v>1500</v>
      </c>
      <c r="E17" s="269">
        <f>'Design Option Curves'!R53</f>
        <v>20</v>
      </c>
      <c r="F17" s="272" t="str">
        <f>'Design Option Curves'!T53</f>
        <v>NA</v>
      </c>
      <c r="G17" s="256">
        <f>'Design Option Curves'!L54</f>
        <v>1642.12</v>
      </c>
      <c r="H17" s="256">
        <f>'Design Option Curves'!M54</f>
        <v>2052.6499999999996</v>
      </c>
      <c r="I17" s="271">
        <f>'Design Option Curves'!P64</f>
        <v>260.25523824187076</v>
      </c>
      <c r="J17" s="271">
        <f>'Design Option Curves'!Q64</f>
        <v>368.50316096206654</v>
      </c>
      <c r="K17" s="271">
        <f>'Design Option Curves'!R64</f>
        <v>637.95785516236094</v>
      </c>
      <c r="L17" s="271"/>
      <c r="M17" s="271"/>
      <c r="N17" s="233">
        <f>'Design Option Curves'!V64</f>
        <v>0.1809169192855789</v>
      </c>
      <c r="O17" s="234">
        <f>'Design Option Curves'!W64</f>
        <v>637.95785516236094</v>
      </c>
      <c r="P17" s="233">
        <v>0.2</v>
      </c>
      <c r="Q17" s="234">
        <v>429.12</v>
      </c>
      <c r="R17" s="246">
        <f t="shared" si="2"/>
        <v>1.9083080714421108E-2</v>
      </c>
      <c r="S17" s="251">
        <f t="shared" si="3"/>
        <v>208.83785516236094</v>
      </c>
      <c r="W17" s="291"/>
      <c r="Y17" s="291"/>
    </row>
    <row r="18" spans="1:25" ht="15.75" customHeight="1" x14ac:dyDescent="0.25">
      <c r="A18" s="5"/>
      <c r="B18" s="377" t="s">
        <v>154</v>
      </c>
      <c r="C18" s="377"/>
      <c r="D18" s="377"/>
      <c r="E18" s="377"/>
      <c r="F18" s="377"/>
      <c r="G18" s="377"/>
      <c r="H18" s="377"/>
      <c r="I18" s="377"/>
      <c r="J18" s="377"/>
      <c r="K18" s="377"/>
      <c r="L18" s="377"/>
      <c r="M18" s="377"/>
      <c r="N18" s="377"/>
      <c r="O18" s="377"/>
      <c r="P18" s="377"/>
      <c r="Q18" s="377"/>
      <c r="R18" s="377"/>
      <c r="S18" s="377"/>
      <c r="W18" s="291"/>
      <c r="Y18" s="291"/>
    </row>
    <row r="19" spans="1:25" ht="15.75" customHeight="1" x14ac:dyDescent="0.25">
      <c r="A19" s="5"/>
      <c r="B19" s="245" t="s">
        <v>8</v>
      </c>
      <c r="C19" s="258"/>
      <c r="D19" s="273">
        <v>700</v>
      </c>
      <c r="E19" s="378" t="s">
        <v>153</v>
      </c>
      <c r="F19" s="378"/>
      <c r="G19" s="378"/>
      <c r="H19" s="378"/>
      <c r="I19" s="378"/>
      <c r="J19" s="378"/>
      <c r="K19" s="378"/>
      <c r="L19" s="378"/>
      <c r="M19" s="378"/>
      <c r="N19" s="378"/>
      <c r="O19" s="378"/>
      <c r="P19" s="378"/>
      <c r="Q19" s="378"/>
      <c r="R19" s="378"/>
      <c r="S19" s="378"/>
      <c r="W19" s="291"/>
      <c r="Y19" s="291"/>
    </row>
    <row r="20" spans="1:25" ht="15.75" customHeight="1" x14ac:dyDescent="0.25">
      <c r="A20" s="5"/>
      <c r="B20" s="380" t="s">
        <v>10</v>
      </c>
      <c r="C20" s="246">
        <f>'Design Option Curves'!P156</f>
        <v>0.15094339622641506</v>
      </c>
      <c r="D20" s="247">
        <f>'Design Option Curves'!Q156</f>
        <v>1500</v>
      </c>
      <c r="E20" s="274">
        <f>'Design Option Curves'!R156</f>
        <v>20</v>
      </c>
      <c r="F20" s="246" t="str">
        <f>'Design Option Curves'!T156</f>
        <v>NA</v>
      </c>
      <c r="G20" s="249">
        <f>'Design Option Curves'!L157</f>
        <v>1958.6799999999998</v>
      </c>
      <c r="H20" s="249">
        <f>'Design Option Curves'!M157</f>
        <v>2448.35</v>
      </c>
      <c r="I20" s="250">
        <f>'Design Option Curves'!P167</f>
        <v>328.78648070283379</v>
      </c>
      <c r="J20" s="250">
        <f>'Design Option Curves'!Q167</f>
        <v>254.81</v>
      </c>
      <c r="K20" s="250">
        <f>'Design Option Curves'!R167</f>
        <v>481.30855283326645</v>
      </c>
      <c r="L20" s="252"/>
      <c r="M20" s="252"/>
      <c r="N20" s="246">
        <f>'Design Option Curves'!V167</f>
        <v>0.16033620568866469</v>
      </c>
      <c r="O20" s="251">
        <f>'Design Option Curves'!W167</f>
        <v>517.64031582892289</v>
      </c>
      <c r="P20" s="246">
        <v>0.20594059405940596</v>
      </c>
      <c r="Q20" s="251">
        <v>406.74</v>
      </c>
      <c r="R20" s="246">
        <f t="shared" ref="R20" si="4">P20-N20</f>
        <v>4.5604388370741267E-2</v>
      </c>
      <c r="S20" s="251">
        <f t="shared" ref="S20" si="5">O20-Q20</f>
        <v>110.90031582892288</v>
      </c>
      <c r="W20" s="291"/>
      <c r="Y20" s="291"/>
    </row>
    <row r="21" spans="1:25" ht="15.75" customHeight="1" x14ac:dyDescent="0.25">
      <c r="A21" s="5"/>
      <c r="B21" s="380"/>
      <c r="C21" s="246">
        <f>'Design Option Curves'!P176</f>
        <v>0.15686274509803919</v>
      </c>
      <c r="D21" s="247">
        <f>'Design Option Curves'!Q176</f>
        <v>2400</v>
      </c>
      <c r="E21" s="274">
        <f>'Design Option Curves'!R176</f>
        <v>19.7</v>
      </c>
      <c r="F21" s="246" t="str">
        <f>'Design Option Curves'!T176</f>
        <v>NA</v>
      </c>
      <c r="G21" s="249">
        <f>'Design Option Curves'!L177</f>
        <v>3183.41</v>
      </c>
      <c r="H21" s="249">
        <f>'Design Option Curves'!M177</f>
        <v>3979.2624999999998</v>
      </c>
      <c r="I21" s="250">
        <f>'Design Option Curves'!P189</f>
        <v>212.17500248211022</v>
      </c>
      <c r="J21" s="250">
        <f>'Design Option Curves'!Q189</f>
        <v>376.76028920809659</v>
      </c>
      <c r="K21" s="250">
        <f>'Design Option Curves'!R189</f>
        <v>705.32028920809853</v>
      </c>
      <c r="L21" s="252"/>
      <c r="M21" s="252"/>
      <c r="N21" s="246">
        <f>'Design Option Curves'!V189</f>
        <v>0.17759675961538465</v>
      </c>
      <c r="O21" s="251">
        <f>'Design Option Curves'!W189</f>
        <v>801.54246289425168</v>
      </c>
      <c r="P21" s="246">
        <v>0.20507812499999997</v>
      </c>
      <c r="Q21" s="251">
        <v>718.63</v>
      </c>
      <c r="R21" s="246">
        <f t="shared" ref="R21" si="6">P21-N21</f>
        <v>2.7481365384615319E-2</v>
      </c>
      <c r="S21" s="251">
        <f t="shared" ref="S21" si="7">O21-Q21</f>
        <v>82.912462894251689</v>
      </c>
      <c r="W21" s="291"/>
      <c r="Y21" s="291"/>
    </row>
    <row r="22" spans="1:25" ht="15.75" customHeight="1" x14ac:dyDescent="0.25">
      <c r="A22" s="5"/>
      <c r="B22" s="377" t="s">
        <v>13</v>
      </c>
      <c r="C22" s="377"/>
      <c r="D22" s="377"/>
      <c r="E22" s="377"/>
      <c r="F22" s="377"/>
      <c r="G22" s="377"/>
      <c r="H22" s="377"/>
      <c r="I22" s="377"/>
      <c r="J22" s="377"/>
      <c r="K22" s="377"/>
      <c r="L22" s="377"/>
      <c r="M22" s="377"/>
      <c r="N22" s="377"/>
      <c r="O22" s="377"/>
      <c r="P22" s="377"/>
      <c r="Q22" s="377"/>
      <c r="R22" s="377"/>
      <c r="S22" s="377"/>
      <c r="W22" s="291"/>
      <c r="Y22" s="291"/>
    </row>
    <row r="23" spans="1:25" ht="15.75" customHeight="1" x14ac:dyDescent="0.25">
      <c r="A23" s="5"/>
      <c r="B23" s="245" t="s">
        <v>8</v>
      </c>
      <c r="C23" s="275"/>
      <c r="D23" s="273">
        <v>110</v>
      </c>
      <c r="E23" s="379" t="s">
        <v>153</v>
      </c>
      <c r="F23" s="379"/>
      <c r="G23" s="379"/>
      <c r="H23" s="379"/>
      <c r="I23" s="379"/>
      <c r="J23" s="379"/>
      <c r="K23" s="379"/>
      <c r="L23" s="379"/>
      <c r="M23" s="379"/>
      <c r="N23" s="379"/>
      <c r="O23" s="379"/>
      <c r="P23" s="379"/>
      <c r="Q23" s="379"/>
      <c r="R23" s="379"/>
      <c r="S23" s="379"/>
      <c r="Y23" s="291"/>
    </row>
    <row r="24" spans="1:25" ht="15.75" customHeight="1" x14ac:dyDescent="0.25">
      <c r="A24" s="5"/>
      <c r="B24" s="245" t="s">
        <v>10</v>
      </c>
      <c r="C24" s="246">
        <f>'Design Option Curves'!P243</f>
        <v>0.27631578947368418</v>
      </c>
      <c r="D24" s="247">
        <f>'Design Option Curves'!Q243</f>
        <v>300</v>
      </c>
      <c r="E24" s="247">
        <f>'Design Option Curves'!R243</f>
        <v>30</v>
      </c>
      <c r="F24" s="247">
        <f>'Design Option Curves'!T243</f>
        <v>131.9</v>
      </c>
      <c r="G24" s="249">
        <f>'Design Option Curves'!L244</f>
        <v>1217.01</v>
      </c>
      <c r="H24" s="249">
        <f>'Design Option Curves'!M244</f>
        <v>1521.2625</v>
      </c>
      <c r="I24" s="250">
        <f>'Design Option Curves'!P256</f>
        <v>30</v>
      </c>
      <c r="J24" s="250">
        <f>'Design Option Curves'!Q256</f>
        <v>102.63986300130533</v>
      </c>
      <c r="K24" s="250">
        <f>'Design Option Curves'!R256</f>
        <v>116.27855942987676</v>
      </c>
      <c r="L24" s="250">
        <f>'Design Option Curves'!S256</f>
        <v>142.55629653962131</v>
      </c>
      <c r="M24" s="250">
        <f>'Design Option Curves'!T256</f>
        <v>358.48759400367049</v>
      </c>
      <c r="N24" s="246">
        <f>'Design Option Curves'!V256</f>
        <v>0.30238725055334598</v>
      </c>
      <c r="O24" s="251">
        <f>'Design Option Curves'!W256</f>
        <v>359.13877371559101</v>
      </c>
      <c r="P24" s="246">
        <v>0.30238725055334598</v>
      </c>
      <c r="Q24" s="251">
        <v>304.7731871256662</v>
      </c>
      <c r="R24" s="246">
        <f t="shared" ref="R24" si="8">P24-N24</f>
        <v>0</v>
      </c>
      <c r="S24" s="251">
        <f t="shared" ref="S24" si="9">O24-Q24</f>
        <v>54.365586589924817</v>
      </c>
      <c r="Y24" s="291"/>
    </row>
    <row r="25" spans="1:25" ht="15.75" customHeight="1" x14ac:dyDescent="0.25">
      <c r="A25" s="5"/>
      <c r="B25" s="377" t="s">
        <v>14</v>
      </c>
      <c r="C25" s="377"/>
      <c r="D25" s="377"/>
      <c r="E25" s="377"/>
      <c r="F25" s="377"/>
      <c r="G25" s="377"/>
      <c r="H25" s="377"/>
      <c r="I25" s="377"/>
      <c r="J25" s="377"/>
      <c r="K25" s="377"/>
      <c r="L25" s="377"/>
      <c r="M25" s="377"/>
      <c r="N25" s="377"/>
      <c r="O25" s="377"/>
      <c r="P25" s="377"/>
      <c r="Q25" s="377"/>
      <c r="R25" s="377"/>
      <c r="S25" s="377"/>
    </row>
    <row r="26" spans="1:25" ht="15.75" customHeight="1" x14ac:dyDescent="0.25">
      <c r="A26" s="5"/>
      <c r="B26" s="245" t="s">
        <v>8</v>
      </c>
      <c r="C26" s="265">
        <f>'Design Option Curves'!P198</f>
        <v>0.27</v>
      </c>
      <c r="D26" s="266">
        <f>'Design Option Curves'!Q198</f>
        <v>110</v>
      </c>
      <c r="E26" s="267">
        <f>'Design Option Curves'!R198</f>
        <v>34</v>
      </c>
      <c r="F26" s="265" t="str">
        <f>'Design Option Curves'!T198</f>
        <v>NA</v>
      </c>
      <c r="G26" s="249">
        <f>'Design Option Curves'!L199</f>
        <v>1045.1500000000001</v>
      </c>
      <c r="H26" s="249">
        <f>'Design Option Curves'!M199</f>
        <v>1306.4375</v>
      </c>
      <c r="I26" s="250">
        <f>'Design Option Curves'!P211</f>
        <v>14.494916666666668</v>
      </c>
      <c r="J26" s="250">
        <f>'Design Option Curves'!Q211</f>
        <v>82.338471564835515</v>
      </c>
      <c r="K26" s="250">
        <f>'Design Option Curves'!R211</f>
        <v>133.48049129538362</v>
      </c>
      <c r="L26" s="250">
        <f>'Design Option Curves'!S211</f>
        <v>184.62251102593171</v>
      </c>
      <c r="M26" s="250">
        <f>'Design Option Curves'!T211</f>
        <v>232.46</v>
      </c>
      <c r="N26" s="246">
        <f>'Design Option Curves'!V211</f>
        <v>0.39348837209302329</v>
      </c>
      <c r="O26" s="251">
        <f>'Design Option Curves'!W211</f>
        <v>493.79068173795542</v>
      </c>
      <c r="P26" s="246">
        <v>0.39348837209302329</v>
      </c>
      <c r="Q26" s="251">
        <v>339.59000000000003</v>
      </c>
      <c r="R26" s="246">
        <f t="shared" ref="R26:R27" si="10">P26-N26</f>
        <v>0</v>
      </c>
      <c r="S26" s="251">
        <f t="shared" ref="S26:S27" si="11">O26-Q26</f>
        <v>154.20068173795539</v>
      </c>
    </row>
    <row r="27" spans="1:25" ht="15.75" customHeight="1" x14ac:dyDescent="0.25">
      <c r="A27" s="5"/>
      <c r="B27" s="245" t="s">
        <v>10</v>
      </c>
      <c r="C27" s="265">
        <f>'Design Option Curves'!P220</f>
        <v>0.26428571428571435</v>
      </c>
      <c r="D27" s="266">
        <f>'Design Option Curves'!Q220</f>
        <v>200</v>
      </c>
      <c r="E27" s="267">
        <f>'Design Option Curves'!R220</f>
        <v>30</v>
      </c>
      <c r="F27" s="265" t="str">
        <f>'Design Option Curves'!T220</f>
        <v>NA</v>
      </c>
      <c r="G27" s="249">
        <f>'Design Option Curves'!L221</f>
        <v>1114.7900000000002</v>
      </c>
      <c r="H27" s="249">
        <f>'Design Option Curves'!M221</f>
        <v>1393.4875000000002</v>
      </c>
      <c r="I27" s="250">
        <f>'Design Option Curves'!P233</f>
        <v>80.051306861181132</v>
      </c>
      <c r="J27" s="250">
        <f>'Design Option Curves'!Q233</f>
        <v>162.49119114880821</v>
      </c>
      <c r="K27" s="250">
        <f>'Design Option Curves'!R233</f>
        <v>190.6725337414008</v>
      </c>
      <c r="L27" s="250">
        <f>'Design Option Curves'!S233</f>
        <v>201.57332077843785</v>
      </c>
      <c r="M27" s="250">
        <f>'Design Option Curves'!T233</f>
        <v>240.29318188954895</v>
      </c>
      <c r="N27" s="246">
        <f>'Design Option Curves'!V233</f>
        <v>0.34884135107471853</v>
      </c>
      <c r="O27" s="251">
        <f>'Design Option Curves'!W233</f>
        <v>455.18012633399337</v>
      </c>
      <c r="P27" s="246">
        <v>0.34884135107471853</v>
      </c>
      <c r="Q27" s="251">
        <v>332.93</v>
      </c>
      <c r="R27" s="246">
        <f t="shared" si="10"/>
        <v>0</v>
      </c>
      <c r="S27" s="251">
        <f t="shared" si="11"/>
        <v>122.25012633399336</v>
      </c>
    </row>
    <row r="28" spans="1:25" x14ac:dyDescent="0.25">
      <c r="A28" s="5"/>
      <c r="B28" s="5"/>
      <c r="C28" s="5"/>
      <c r="D28" s="5"/>
      <c r="E28" s="5"/>
      <c r="F28" s="5"/>
      <c r="G28" s="5"/>
      <c r="H28" s="5"/>
      <c r="I28" s="5"/>
      <c r="J28" s="5"/>
      <c r="K28" s="5"/>
      <c r="L28" s="5"/>
      <c r="M28" s="5"/>
      <c r="N28" s="5"/>
      <c r="O28" s="5"/>
      <c r="P28" s="5"/>
      <c r="Q28" s="5"/>
      <c r="R28" s="5"/>
      <c r="S28" s="5"/>
    </row>
    <row r="29" spans="1:25" x14ac:dyDescent="0.25">
      <c r="A29" s="5"/>
      <c r="B29" s="5"/>
      <c r="C29" s="5"/>
      <c r="D29" s="5"/>
      <c r="E29" s="5"/>
      <c r="F29" s="5"/>
      <c r="G29" s="5"/>
      <c r="H29" s="5"/>
      <c r="I29" s="5"/>
      <c r="J29" s="5"/>
      <c r="K29" s="5"/>
      <c r="L29" s="5"/>
      <c r="M29" s="5"/>
      <c r="N29" s="5"/>
      <c r="O29" s="5"/>
      <c r="P29" s="5"/>
      <c r="Q29" s="5"/>
      <c r="R29" s="5"/>
      <c r="S29" s="5"/>
    </row>
    <row r="30" spans="1:25" x14ac:dyDescent="0.25">
      <c r="A30" s="5"/>
      <c r="B30" s="129" t="s">
        <v>155</v>
      </c>
      <c r="C30" s="5"/>
      <c r="D30" s="5"/>
      <c r="E30" s="5"/>
      <c r="F30" s="5"/>
      <c r="G30" s="5"/>
      <c r="H30" s="5"/>
      <c r="I30" s="5"/>
      <c r="J30" s="5"/>
      <c r="K30" s="5"/>
      <c r="L30" s="5"/>
      <c r="M30" s="5"/>
      <c r="N30" s="5"/>
      <c r="O30" s="5"/>
      <c r="P30" s="5"/>
      <c r="Q30" s="5"/>
      <c r="R30" s="5"/>
      <c r="S30" s="5"/>
    </row>
    <row r="31" spans="1:25" ht="38.25" customHeight="1" x14ac:dyDescent="0.25">
      <c r="A31" s="5"/>
      <c r="B31" s="374" t="s">
        <v>145</v>
      </c>
      <c r="C31" s="374" t="s">
        <v>0</v>
      </c>
      <c r="D31" s="374" t="s">
        <v>149</v>
      </c>
      <c r="E31" s="374" t="s">
        <v>148</v>
      </c>
      <c r="F31" s="374" t="s">
        <v>1</v>
      </c>
      <c r="G31" s="374" t="s">
        <v>146</v>
      </c>
      <c r="H31" s="374" t="s">
        <v>147</v>
      </c>
      <c r="I31" s="374" t="s">
        <v>15</v>
      </c>
      <c r="J31" s="374" t="s">
        <v>2</v>
      </c>
      <c r="K31" s="374" t="s">
        <v>3</v>
      </c>
      <c r="L31" s="374" t="s">
        <v>4</v>
      </c>
      <c r="M31" s="374" t="s">
        <v>5</v>
      </c>
      <c r="N31" s="374" t="s">
        <v>150</v>
      </c>
      <c r="O31" s="374"/>
      <c r="P31" s="374" t="s">
        <v>150</v>
      </c>
      <c r="Q31" s="374"/>
      <c r="R31" s="374" t="s">
        <v>211</v>
      </c>
      <c r="S31" s="374"/>
    </row>
    <row r="32" spans="1:25" ht="45" x14ac:dyDescent="0.25">
      <c r="A32" s="5"/>
      <c r="B32" s="374"/>
      <c r="C32" s="374"/>
      <c r="D32" s="374"/>
      <c r="E32" s="374"/>
      <c r="F32" s="374"/>
      <c r="G32" s="374"/>
      <c r="H32" s="374"/>
      <c r="I32" s="374"/>
      <c r="J32" s="374"/>
      <c r="K32" s="374"/>
      <c r="L32" s="374"/>
      <c r="M32" s="374"/>
      <c r="N32" s="224" t="s">
        <v>151</v>
      </c>
      <c r="O32" s="224" t="s">
        <v>152</v>
      </c>
      <c r="P32" s="224" t="s">
        <v>151</v>
      </c>
      <c r="Q32" s="224" t="s">
        <v>152</v>
      </c>
      <c r="R32" s="224" t="s">
        <v>212</v>
      </c>
      <c r="S32" s="224" t="s">
        <v>213</v>
      </c>
    </row>
    <row r="33" spans="1:19" hidden="1" x14ac:dyDescent="0.25">
      <c r="A33" s="5"/>
      <c r="B33" s="376" t="s">
        <v>156</v>
      </c>
      <c r="C33" s="376"/>
      <c r="D33" s="376"/>
      <c r="E33" s="376"/>
      <c r="F33" s="376"/>
      <c r="G33" s="376"/>
      <c r="H33" s="376"/>
      <c r="I33" s="376"/>
      <c r="J33" s="376"/>
      <c r="K33" s="376"/>
      <c r="L33" s="376"/>
      <c r="M33" s="376"/>
      <c r="N33" s="376"/>
      <c r="O33" s="376"/>
      <c r="P33" s="376"/>
      <c r="Q33" s="376"/>
      <c r="R33" s="376"/>
      <c r="S33" s="376"/>
    </row>
    <row r="34" spans="1:19" hidden="1" x14ac:dyDescent="0.25">
      <c r="A34" s="5"/>
      <c r="B34" s="63" t="s">
        <v>8</v>
      </c>
      <c r="C34" s="225" t="s">
        <v>153</v>
      </c>
      <c r="D34" s="226">
        <v>800</v>
      </c>
      <c r="E34" s="381" t="s">
        <v>153</v>
      </c>
      <c r="F34" s="381"/>
      <c r="G34" s="381"/>
      <c r="H34" s="381"/>
      <c r="I34" s="381"/>
      <c r="J34" s="381"/>
      <c r="K34" s="381"/>
      <c r="L34" s="381"/>
      <c r="M34" s="381"/>
      <c r="N34" s="381"/>
      <c r="O34" s="381"/>
      <c r="P34" s="381"/>
      <c r="Q34" s="381"/>
      <c r="R34" s="381"/>
      <c r="S34" s="381"/>
    </row>
    <row r="35" spans="1:19" hidden="1" x14ac:dyDescent="0.25">
      <c r="A35" s="5"/>
      <c r="B35" s="375" t="s">
        <v>10</v>
      </c>
      <c r="C35" s="225" t="s">
        <v>153</v>
      </c>
      <c r="D35" s="227">
        <v>1000</v>
      </c>
      <c r="E35" s="381" t="s">
        <v>153</v>
      </c>
      <c r="F35" s="381"/>
      <c r="G35" s="381"/>
      <c r="H35" s="381"/>
      <c r="I35" s="381"/>
      <c r="J35" s="381"/>
      <c r="K35" s="381"/>
      <c r="L35" s="381"/>
      <c r="M35" s="381"/>
      <c r="N35" s="381"/>
      <c r="O35" s="381"/>
      <c r="P35" s="381"/>
      <c r="Q35" s="381"/>
      <c r="R35" s="381"/>
      <c r="S35" s="381"/>
    </row>
    <row r="36" spans="1:19" hidden="1" x14ac:dyDescent="0.25">
      <c r="A36" s="5"/>
      <c r="B36" s="375"/>
      <c r="C36" s="225" t="s">
        <v>153</v>
      </c>
      <c r="D36" s="227">
        <v>1800</v>
      </c>
      <c r="E36" s="381" t="s">
        <v>153</v>
      </c>
      <c r="F36" s="381"/>
      <c r="G36" s="381"/>
      <c r="H36" s="381"/>
      <c r="I36" s="381"/>
      <c r="J36" s="381"/>
      <c r="K36" s="381"/>
      <c r="L36" s="381"/>
      <c r="M36" s="381"/>
      <c r="N36" s="381"/>
      <c r="O36" s="381"/>
      <c r="P36" s="381"/>
      <c r="Q36" s="381"/>
      <c r="R36" s="381"/>
      <c r="S36" s="381"/>
    </row>
    <row r="37" spans="1:19" x14ac:dyDescent="0.25">
      <c r="A37" s="5"/>
      <c r="B37" s="376" t="s">
        <v>7</v>
      </c>
      <c r="C37" s="376"/>
      <c r="D37" s="376"/>
      <c r="E37" s="376"/>
      <c r="F37" s="376"/>
      <c r="G37" s="376"/>
      <c r="H37" s="376"/>
      <c r="I37" s="376"/>
      <c r="J37" s="376"/>
      <c r="K37" s="376"/>
      <c r="L37" s="376"/>
      <c r="M37" s="376"/>
      <c r="N37" s="376"/>
      <c r="O37" s="376"/>
      <c r="P37" s="376"/>
      <c r="Q37" s="376"/>
      <c r="R37" s="376"/>
      <c r="S37" s="376"/>
    </row>
    <row r="38" spans="1:19" x14ac:dyDescent="0.25">
      <c r="A38" s="5"/>
      <c r="B38" s="63" t="s">
        <v>8</v>
      </c>
      <c r="C38" s="228">
        <f>'Design Option Curves'!P265</f>
        <v>0.25262421337244589</v>
      </c>
      <c r="D38" s="229">
        <f>'Design Option Curves'!Q265</f>
        <v>310</v>
      </c>
      <c r="E38" s="230">
        <f>'Design Option Curves'!R265</f>
        <v>12</v>
      </c>
      <c r="F38" s="228" t="str">
        <f>'Design Option Curves'!T265</f>
        <v>NA</v>
      </c>
      <c r="G38" s="231">
        <f>'Design Option Curves'!L267</f>
        <v>2689.41</v>
      </c>
      <c r="H38" s="231">
        <f>'Design Option Curves'!M267</f>
        <v>3361.7624999999998</v>
      </c>
      <c r="I38" s="232">
        <f>'Design Option Curves'!P278</f>
        <v>68.051459051751607</v>
      </c>
      <c r="J38" s="232">
        <f>'Design Option Curves'!Q278</f>
        <v>142.52682636964499</v>
      </c>
      <c r="K38" s="232">
        <f>'Design Option Curves'!R278</f>
        <v>187.60213838466652</v>
      </c>
      <c r="L38" s="232">
        <f>'Design Option Curves'!S278</f>
        <v>453.71659293246921</v>
      </c>
      <c r="M38" s="232">
        <f>'Design Option Curves'!T278</f>
        <v>453.71659293246921</v>
      </c>
      <c r="N38" s="233">
        <f>'Design Option Curves'!V278</f>
        <v>0.2582417582417581</v>
      </c>
      <c r="O38" s="234">
        <f>'Design Option Curves'!W278</f>
        <v>502.65269121733473</v>
      </c>
      <c r="P38" s="235">
        <v>0.30989010989010984</v>
      </c>
      <c r="Q38" s="236">
        <v>524.54102902314446</v>
      </c>
      <c r="R38" s="228">
        <f t="shared" ref="R38:R39" si="12">P38-N38</f>
        <v>5.1648351648351742E-2</v>
      </c>
      <c r="S38" s="54">
        <f t="shared" ref="S38:S39" si="13">O38-Q38</f>
        <v>-21.888337805809726</v>
      </c>
    </row>
    <row r="39" spans="1:19" x14ac:dyDescent="0.25">
      <c r="A39" s="5"/>
      <c r="B39" s="375" t="s">
        <v>10</v>
      </c>
      <c r="C39" s="228">
        <f>'Design Option Curves'!P288</f>
        <v>0.17007480709834627</v>
      </c>
      <c r="D39" s="229">
        <f>'Design Option Curves'!Q288</f>
        <v>820</v>
      </c>
      <c r="E39" s="230">
        <f>'Design Option Curves'!R288</f>
        <v>13.6</v>
      </c>
      <c r="F39" s="228" t="str">
        <f>'Design Option Curves'!T288</f>
        <v>NA</v>
      </c>
      <c r="G39" s="231">
        <f>'Design Option Curves'!L290</f>
        <v>2077.94</v>
      </c>
      <c r="H39" s="231">
        <f>'Design Option Curves'!M290</f>
        <v>2597.4250000000002</v>
      </c>
      <c r="I39" s="232">
        <f>'Design Option Curves'!P301</f>
        <v>75.7439047854444</v>
      </c>
      <c r="J39" s="232">
        <f>'Design Option Curves'!Q301</f>
        <v>168.0646898959925</v>
      </c>
      <c r="K39" s="232">
        <f>'Design Option Curves'!R301</f>
        <v>260.38547500654062</v>
      </c>
      <c r="L39" s="232">
        <f>'Design Option Curves'!S301</f>
        <v>315.54389715218781</v>
      </c>
      <c r="M39" s="232">
        <f>'Design Option Curves'!T301</f>
        <v>720.19252673702215</v>
      </c>
      <c r="N39" s="233">
        <f>'Design Option Curves'!V301</f>
        <v>0.30239999999999995</v>
      </c>
      <c r="O39" s="234">
        <f>'Design Option Curves'!W301</f>
        <v>724.6239244223284</v>
      </c>
      <c r="P39" s="235">
        <v>0.30239999999999995</v>
      </c>
      <c r="Q39" s="236">
        <v>500.55579818041247</v>
      </c>
      <c r="R39" s="228">
        <f t="shared" si="12"/>
        <v>0</v>
      </c>
      <c r="S39" s="54">
        <f t="shared" si="13"/>
        <v>224.06812624191593</v>
      </c>
    </row>
    <row r="40" spans="1:19" hidden="1" x14ac:dyDescent="0.25">
      <c r="A40" s="5"/>
      <c r="B40" s="375"/>
      <c r="C40" s="225"/>
      <c r="D40" s="237">
        <v>1800</v>
      </c>
      <c r="E40" s="381" t="s">
        <v>153</v>
      </c>
      <c r="F40" s="381"/>
      <c r="G40" s="381"/>
      <c r="H40" s="381"/>
      <c r="I40" s="381"/>
      <c r="J40" s="381"/>
      <c r="K40" s="381"/>
      <c r="L40" s="381"/>
      <c r="M40" s="381"/>
      <c r="N40" s="381"/>
      <c r="O40" s="381"/>
      <c r="P40" s="381"/>
      <c r="Q40" s="381"/>
      <c r="R40" s="381"/>
      <c r="S40" s="381"/>
    </row>
    <row r="41" spans="1:19" ht="23.25" hidden="1" customHeight="1" x14ac:dyDescent="0.25">
      <c r="A41" s="5"/>
      <c r="B41" s="376" t="s">
        <v>157</v>
      </c>
      <c r="C41" s="376"/>
      <c r="D41" s="376"/>
      <c r="E41" s="376"/>
      <c r="F41" s="376"/>
      <c r="G41" s="376"/>
      <c r="H41" s="376"/>
      <c r="I41" s="376"/>
      <c r="J41" s="376"/>
      <c r="K41" s="376"/>
      <c r="L41" s="376"/>
      <c r="M41" s="376"/>
      <c r="N41" s="376"/>
      <c r="O41" s="376"/>
      <c r="P41" s="376"/>
      <c r="Q41" s="376"/>
      <c r="R41" s="376"/>
      <c r="S41" s="376"/>
    </row>
    <row r="42" spans="1:19" ht="15" hidden="1" customHeight="1" x14ac:dyDescent="0.25">
      <c r="A42" s="5"/>
      <c r="B42" s="376"/>
      <c r="C42" s="376"/>
      <c r="D42" s="376"/>
      <c r="E42" s="376"/>
      <c r="F42" s="376"/>
      <c r="G42" s="376"/>
      <c r="H42" s="376"/>
      <c r="I42" s="376"/>
      <c r="J42" s="376"/>
      <c r="K42" s="376"/>
      <c r="L42" s="376"/>
      <c r="M42" s="376"/>
      <c r="N42" s="376"/>
      <c r="O42" s="376"/>
      <c r="P42" s="376"/>
      <c r="Q42" s="376"/>
      <c r="R42" s="376"/>
      <c r="S42" s="376"/>
    </row>
    <row r="43" spans="1:19" ht="15.75" hidden="1" customHeight="1" x14ac:dyDescent="0.25">
      <c r="A43" s="5"/>
      <c r="B43" s="376"/>
      <c r="C43" s="376"/>
      <c r="D43" s="376"/>
      <c r="E43" s="376"/>
      <c r="F43" s="376"/>
      <c r="G43" s="376"/>
      <c r="H43" s="376"/>
      <c r="I43" s="376"/>
      <c r="J43" s="376"/>
      <c r="K43" s="376"/>
      <c r="L43" s="376"/>
      <c r="M43" s="376"/>
      <c r="N43" s="376"/>
      <c r="O43" s="376"/>
      <c r="P43" s="376"/>
      <c r="Q43" s="376"/>
      <c r="R43" s="376"/>
      <c r="S43" s="376"/>
    </row>
    <row r="44" spans="1:19" hidden="1" x14ac:dyDescent="0.25">
      <c r="A44" s="5"/>
      <c r="B44" s="63" t="s">
        <v>8</v>
      </c>
      <c r="C44" s="225"/>
      <c r="D44" s="226">
        <v>700</v>
      </c>
      <c r="E44" s="381" t="s">
        <v>153</v>
      </c>
      <c r="F44" s="381"/>
      <c r="G44" s="381"/>
      <c r="H44" s="381"/>
      <c r="I44" s="381"/>
      <c r="J44" s="381"/>
      <c r="K44" s="381"/>
      <c r="L44" s="381"/>
      <c r="M44" s="381"/>
      <c r="N44" s="381"/>
      <c r="O44" s="381"/>
      <c r="P44" s="381"/>
      <c r="Q44" s="381"/>
      <c r="R44" s="381"/>
      <c r="S44" s="381"/>
    </row>
    <row r="45" spans="1:19" hidden="1" x14ac:dyDescent="0.25">
      <c r="A45" s="5"/>
      <c r="B45" s="63" t="s">
        <v>10</v>
      </c>
      <c r="C45" s="225"/>
      <c r="D45" s="227">
        <v>1500</v>
      </c>
      <c r="E45" s="381" t="s">
        <v>153</v>
      </c>
      <c r="F45" s="381"/>
      <c r="G45" s="381"/>
      <c r="H45" s="381"/>
      <c r="I45" s="381"/>
      <c r="J45" s="381"/>
      <c r="K45" s="381"/>
      <c r="L45" s="381"/>
      <c r="M45" s="381"/>
      <c r="N45" s="381"/>
      <c r="O45" s="381"/>
      <c r="P45" s="381"/>
      <c r="Q45" s="381"/>
      <c r="R45" s="381"/>
      <c r="S45" s="381"/>
    </row>
    <row r="46" spans="1:19" hidden="1" x14ac:dyDescent="0.25">
      <c r="A46" s="5"/>
      <c r="B46" s="376" t="s">
        <v>164</v>
      </c>
      <c r="C46" s="376"/>
      <c r="D46" s="376"/>
      <c r="E46" s="376"/>
      <c r="F46" s="376"/>
      <c r="G46" s="376"/>
      <c r="H46" s="376"/>
      <c r="I46" s="376"/>
      <c r="J46" s="376"/>
      <c r="K46" s="376"/>
      <c r="L46" s="376"/>
      <c r="M46" s="376"/>
      <c r="N46" s="376"/>
      <c r="O46" s="376"/>
      <c r="P46" s="376"/>
      <c r="Q46" s="376"/>
      <c r="R46" s="376"/>
      <c r="S46" s="376"/>
    </row>
    <row r="47" spans="1:19" hidden="1" x14ac:dyDescent="0.25">
      <c r="A47" s="5"/>
      <c r="B47" s="376"/>
      <c r="C47" s="376"/>
      <c r="D47" s="376"/>
      <c r="E47" s="376"/>
      <c r="F47" s="376"/>
      <c r="G47" s="376"/>
      <c r="H47" s="376"/>
      <c r="I47" s="376"/>
      <c r="J47" s="376"/>
      <c r="K47" s="376"/>
      <c r="L47" s="376"/>
      <c r="M47" s="376"/>
      <c r="N47" s="376"/>
      <c r="O47" s="376"/>
      <c r="P47" s="376"/>
      <c r="Q47" s="376"/>
      <c r="R47" s="376"/>
      <c r="S47" s="376"/>
    </row>
    <row r="48" spans="1:19" hidden="1" x14ac:dyDescent="0.25">
      <c r="A48" s="5"/>
      <c r="B48" s="376"/>
      <c r="C48" s="376"/>
      <c r="D48" s="376"/>
      <c r="E48" s="376"/>
      <c r="F48" s="376"/>
      <c r="G48" s="376"/>
      <c r="H48" s="376"/>
      <c r="I48" s="376"/>
      <c r="J48" s="376"/>
      <c r="K48" s="376"/>
      <c r="L48" s="376"/>
      <c r="M48" s="376"/>
      <c r="N48" s="376"/>
      <c r="O48" s="376"/>
      <c r="P48" s="376"/>
      <c r="Q48" s="376"/>
      <c r="R48" s="376"/>
      <c r="S48" s="376"/>
    </row>
    <row r="49" spans="1:19" hidden="1" x14ac:dyDescent="0.25">
      <c r="A49" s="5"/>
      <c r="B49" s="63" t="s">
        <v>8</v>
      </c>
      <c r="C49" s="225"/>
      <c r="D49" s="238" t="s">
        <v>12</v>
      </c>
      <c r="E49" s="381" t="s">
        <v>153</v>
      </c>
      <c r="F49" s="381"/>
      <c r="G49" s="381"/>
      <c r="H49" s="381"/>
      <c r="I49" s="381"/>
      <c r="J49" s="381"/>
      <c r="K49" s="381"/>
      <c r="L49" s="381"/>
      <c r="M49" s="381"/>
      <c r="N49" s="381"/>
      <c r="O49" s="381"/>
      <c r="P49" s="381"/>
      <c r="Q49" s="381"/>
      <c r="R49" s="381"/>
      <c r="S49" s="381"/>
    </row>
    <row r="50" spans="1:19" hidden="1" x14ac:dyDescent="0.25">
      <c r="A50" s="5"/>
      <c r="B50" s="63" t="s">
        <v>10</v>
      </c>
      <c r="C50" s="225"/>
      <c r="D50" s="226">
        <v>300</v>
      </c>
      <c r="E50" s="381" t="s">
        <v>153</v>
      </c>
      <c r="F50" s="381"/>
      <c r="G50" s="381"/>
      <c r="H50" s="381"/>
      <c r="I50" s="381"/>
      <c r="J50" s="381"/>
      <c r="K50" s="381"/>
      <c r="L50" s="381"/>
      <c r="M50" s="381"/>
      <c r="N50" s="381"/>
      <c r="O50" s="381"/>
      <c r="P50" s="381"/>
      <c r="Q50" s="381"/>
      <c r="R50" s="381"/>
      <c r="S50" s="381"/>
    </row>
    <row r="51" spans="1:19" x14ac:dyDescent="0.25">
      <c r="A51" s="5"/>
      <c r="B51" s="376" t="s">
        <v>16</v>
      </c>
      <c r="C51" s="376"/>
      <c r="D51" s="376"/>
      <c r="E51" s="376"/>
      <c r="F51" s="376"/>
      <c r="G51" s="376"/>
      <c r="H51" s="376"/>
      <c r="I51" s="376"/>
      <c r="J51" s="376"/>
      <c r="K51" s="376"/>
      <c r="L51" s="376"/>
      <c r="M51" s="376"/>
      <c r="N51" s="376"/>
      <c r="O51" s="376"/>
      <c r="P51" s="376"/>
      <c r="Q51" s="376"/>
      <c r="R51" s="376"/>
      <c r="S51" s="376"/>
    </row>
    <row r="52" spans="1:19" x14ac:dyDescent="0.25">
      <c r="A52" s="5"/>
      <c r="B52" s="63" t="s">
        <v>8</v>
      </c>
      <c r="C52" s="239">
        <f>'Design Option Curves'!P310</f>
        <v>0.24412125772985199</v>
      </c>
      <c r="D52" s="240">
        <f>'Design Option Curves'!Q310</f>
        <v>110</v>
      </c>
      <c r="E52" s="241">
        <f>'Design Option Curves'!R310</f>
        <v>12</v>
      </c>
      <c r="F52" s="239" t="str">
        <f>'Design Option Curves'!T310</f>
        <v>NA</v>
      </c>
      <c r="G52" s="231">
        <f>'Design Option Curves'!L312</f>
        <v>1402.63</v>
      </c>
      <c r="H52" s="231">
        <f>'Design Option Curves'!M312</f>
        <v>1753.2875000000001</v>
      </c>
      <c r="I52" s="242">
        <f>'Design Option Curves'!P322</f>
        <v>10.18</v>
      </c>
      <c r="J52" s="242">
        <f>'Design Option Curves'!Q322</f>
        <v>111.48180189770281</v>
      </c>
      <c r="K52" s="242">
        <f>'Design Option Curves'!R322</f>
        <v>167.60566404767599</v>
      </c>
      <c r="L52" s="242">
        <f>'Design Option Curves'!S322</f>
        <v>438.18704550758929</v>
      </c>
      <c r="M52" s="242"/>
      <c r="N52" s="243">
        <f>'Design Option Curves'!V322</f>
        <v>0.2819738167170191</v>
      </c>
      <c r="O52" s="244">
        <f>'Design Option Curves'!W322</f>
        <v>494.6634671099082</v>
      </c>
      <c r="P52" s="243">
        <v>0.2819738167170191</v>
      </c>
      <c r="Q52" s="244">
        <v>371.71553279196195</v>
      </c>
      <c r="R52" s="228">
        <f t="shared" ref="R52" si="14">P52-N52</f>
        <v>0</v>
      </c>
      <c r="S52" s="54">
        <f t="shared" ref="S52" si="15">O52-Q52</f>
        <v>122.94793431794625</v>
      </c>
    </row>
    <row r="53" spans="1:19" hidden="1" x14ac:dyDescent="0.25">
      <c r="A53" s="5"/>
      <c r="B53" s="385" t="s">
        <v>10</v>
      </c>
      <c r="C53" s="225"/>
      <c r="D53" s="226">
        <v>300</v>
      </c>
      <c r="E53" s="381" t="s">
        <v>153</v>
      </c>
      <c r="F53" s="381"/>
      <c r="G53" s="381"/>
      <c r="H53" s="381"/>
      <c r="I53" s="381"/>
      <c r="J53" s="381"/>
      <c r="K53" s="381"/>
      <c r="L53" s="381"/>
      <c r="M53" s="381"/>
      <c r="N53" s="381"/>
      <c r="O53" s="381"/>
      <c r="P53" s="381"/>
      <c r="Q53" s="381"/>
      <c r="R53" s="381"/>
      <c r="S53" s="382"/>
    </row>
    <row r="54" spans="1:19" ht="15.75" hidden="1" thickBot="1" x14ac:dyDescent="0.3">
      <c r="A54" s="5"/>
      <c r="B54" s="386"/>
      <c r="C54" s="276"/>
      <c r="D54" s="277">
        <v>670</v>
      </c>
      <c r="E54" s="383" t="s">
        <v>153</v>
      </c>
      <c r="F54" s="383"/>
      <c r="G54" s="383"/>
      <c r="H54" s="383"/>
      <c r="I54" s="383"/>
      <c r="J54" s="383"/>
      <c r="K54" s="383"/>
      <c r="L54" s="383"/>
      <c r="M54" s="383"/>
      <c r="N54" s="383"/>
      <c r="O54" s="383"/>
      <c r="P54" s="383"/>
      <c r="Q54" s="383"/>
      <c r="R54" s="383"/>
      <c r="S54" s="384"/>
    </row>
    <row r="55" spans="1:19" x14ac:dyDescent="0.25">
      <c r="A55" s="5"/>
      <c r="B55" s="5"/>
      <c r="C55" s="5"/>
      <c r="D55" s="5"/>
      <c r="E55" s="5"/>
      <c r="F55" s="5"/>
      <c r="G55" s="5"/>
      <c r="H55" s="5"/>
      <c r="I55" s="5"/>
      <c r="J55" s="5"/>
      <c r="K55" s="5"/>
      <c r="L55" s="5"/>
      <c r="M55" s="5"/>
      <c r="N55" s="5"/>
      <c r="O55" s="5"/>
      <c r="P55" s="5"/>
      <c r="Q55" s="5"/>
      <c r="R55" s="5"/>
      <c r="S55" s="5"/>
    </row>
    <row r="56" spans="1:19" x14ac:dyDescent="0.25">
      <c r="A56" s="5"/>
      <c r="B56" s="5"/>
      <c r="C56" s="5"/>
      <c r="D56" s="5"/>
      <c r="E56" s="5"/>
      <c r="F56" s="5"/>
      <c r="G56" s="5"/>
      <c r="H56" s="5"/>
      <c r="I56" s="5"/>
      <c r="J56" s="5"/>
      <c r="K56" s="5"/>
      <c r="L56" s="5"/>
      <c r="M56" s="5"/>
      <c r="N56" s="5"/>
      <c r="O56" s="5"/>
      <c r="P56" s="5"/>
      <c r="Q56" s="5"/>
      <c r="R56" s="5"/>
      <c r="S56" s="5"/>
    </row>
  </sheetData>
  <mergeCells count="58">
    <mergeCell ref="E53:S53"/>
    <mergeCell ref="E54:S54"/>
    <mergeCell ref="B33:S33"/>
    <mergeCell ref="E34:S34"/>
    <mergeCell ref="E35:S35"/>
    <mergeCell ref="E36:S36"/>
    <mergeCell ref="B37:S37"/>
    <mergeCell ref="E40:S40"/>
    <mergeCell ref="B41:S43"/>
    <mergeCell ref="E44:S44"/>
    <mergeCell ref="E45:S45"/>
    <mergeCell ref="B46:S48"/>
    <mergeCell ref="E49:S49"/>
    <mergeCell ref="B53:B54"/>
    <mergeCell ref="E50:S50"/>
    <mergeCell ref="B51:S51"/>
    <mergeCell ref="R7:S7"/>
    <mergeCell ref="R31:S31"/>
    <mergeCell ref="B9:S9"/>
    <mergeCell ref="B14:S14"/>
    <mergeCell ref="B18:S18"/>
    <mergeCell ref="E19:S19"/>
    <mergeCell ref="B22:S22"/>
    <mergeCell ref="E23:S23"/>
    <mergeCell ref="B25:S25"/>
    <mergeCell ref="B16:B17"/>
    <mergeCell ref="B20:B21"/>
    <mergeCell ref="P7:Q7"/>
    <mergeCell ref="B12:B13"/>
    <mergeCell ref="N7:O7"/>
    <mergeCell ref="H7:H8"/>
    <mergeCell ref="I7:I8"/>
    <mergeCell ref="B39:B40"/>
    <mergeCell ref="P31:Q31"/>
    <mergeCell ref="B35:B36"/>
    <mergeCell ref="N31:O31"/>
    <mergeCell ref="H31:H32"/>
    <mergeCell ref="I31:I32"/>
    <mergeCell ref="J31:J32"/>
    <mergeCell ref="K31:K32"/>
    <mergeCell ref="L31:L32"/>
    <mergeCell ref="M31:M32"/>
    <mergeCell ref="B31:B32"/>
    <mergeCell ref="C31:C32"/>
    <mergeCell ref="D31:D32"/>
    <mergeCell ref="E31:E32"/>
    <mergeCell ref="F31:F32"/>
    <mergeCell ref="G31:G32"/>
    <mergeCell ref="J7:J8"/>
    <mergeCell ref="K7:K8"/>
    <mergeCell ref="L7:L8"/>
    <mergeCell ref="M7:M8"/>
    <mergeCell ref="B7:B8"/>
    <mergeCell ref="C7:C8"/>
    <mergeCell ref="D7:D8"/>
    <mergeCell ref="E7:E8"/>
    <mergeCell ref="F7:F8"/>
    <mergeCell ref="G7:G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 Table</vt:lpstr>
      <vt:lpstr>Map</vt:lpstr>
      <vt:lpstr>Design Option Curves</vt:lpstr>
      <vt:lpstr>Compressor EER worksheet</vt:lpstr>
      <vt:lpstr>AHRI &amp; DOE Max Tech Summary</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Burgos</dc:creator>
  <cp:lastModifiedBy>McKenney, Breana</cp:lastModifiedBy>
  <dcterms:created xsi:type="dcterms:W3CDTF">2012-11-29T22:16:19Z</dcterms:created>
  <dcterms:modified xsi:type="dcterms:W3CDTF">2023-02-21T17:35:08Z</dcterms:modified>
</cp:coreProperties>
</file>