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bmckenney\Downloads\"/>
    </mc:Choice>
  </mc:AlternateContent>
  <xr:revisionPtr revIDLastSave="0" documentId="8_{FFD07296-37BC-4990-93B2-919A76961D86}" xr6:coauthVersionLast="47" xr6:coauthVersionMax="47" xr10:uidLastSave="{00000000-0000-0000-0000-000000000000}"/>
  <bookViews>
    <workbookView xWindow="28680" yWindow="-120" windowWidth="29040" windowHeight="15840" tabRatio="789" activeTab="2" xr2:uid="{00000000-000D-0000-FFFF-FFFF00000000}"/>
  </bookViews>
  <sheets>
    <sheet name="Updated Analysis" sheetId="5" r:id="rId1"/>
    <sheet name="Summary" sheetId="4" r:id="rId2"/>
    <sheet name="Design Option Curve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9" i="3" l="1"/>
  <c r="D368" i="3"/>
  <c r="D369" i="3" s="1"/>
  <c r="D370" i="3" s="1"/>
  <c r="D371" i="3" s="1"/>
  <c r="T369" i="3" s="1"/>
  <c r="D367" i="3"/>
  <c r="X369" i="3" l="1"/>
  <c r="I286" i="3"/>
  <c r="F291" i="3" l="1"/>
  <c r="G291" i="3" s="1"/>
  <c r="A261" i="3" l="1"/>
  <c r="A262" i="3"/>
  <c r="A263" i="3"/>
  <c r="A264" i="3"/>
  <c r="A260" i="3"/>
  <c r="C333" i="3"/>
  <c r="A325" i="3"/>
  <c r="A326" i="3"/>
  <c r="A327" i="3"/>
  <c r="A328" i="3"/>
  <c r="A324" i="3"/>
  <c r="A304" i="3"/>
  <c r="A305" i="3"/>
  <c r="A306" i="3"/>
  <c r="A307" i="3"/>
  <c r="A303" i="3"/>
  <c r="A283" i="3"/>
  <c r="A284" i="3"/>
  <c r="A285" i="3"/>
  <c r="A286" i="3"/>
  <c r="A287" i="3"/>
  <c r="A282" i="3"/>
  <c r="A81" i="3"/>
  <c r="A82" i="3"/>
  <c r="A83" i="3"/>
  <c r="A84" i="3"/>
  <c r="A85" i="3"/>
  <c r="A80" i="3"/>
  <c r="I15" i="3"/>
  <c r="A217" i="3"/>
  <c r="A218" i="3"/>
  <c r="A219" i="3"/>
  <c r="A220" i="3"/>
  <c r="A221" i="3"/>
  <c r="A222" i="3"/>
  <c r="A216" i="3"/>
  <c r="A35" i="3"/>
  <c r="A36" i="3"/>
  <c r="A37" i="3"/>
  <c r="A38" i="3"/>
  <c r="A39" i="3"/>
  <c r="A40" i="3"/>
  <c r="A41" i="3"/>
  <c r="A34" i="3"/>
  <c r="A14" i="3"/>
  <c r="A15" i="3"/>
  <c r="A16" i="3"/>
  <c r="A13" i="3"/>
  <c r="I411" i="3" l="1"/>
  <c r="I389" i="3"/>
  <c r="I368" i="3"/>
  <c r="I345" i="3"/>
  <c r="I325" i="3"/>
  <c r="I303" i="3"/>
  <c r="I282" i="3"/>
  <c r="I261" i="3"/>
  <c r="I239" i="3"/>
  <c r="I217" i="3"/>
  <c r="I194" i="3"/>
  <c r="I173" i="3"/>
  <c r="I149" i="3"/>
  <c r="I126" i="3"/>
  <c r="I103" i="3"/>
  <c r="I80" i="3"/>
  <c r="I59" i="3"/>
  <c r="I34" i="3"/>
  <c r="I12" i="3"/>
  <c r="R87" i="3" l="1"/>
  <c r="T422" i="3"/>
  <c r="S422" i="3"/>
  <c r="T400" i="3"/>
  <c r="S400" i="3"/>
  <c r="R400" i="3"/>
  <c r="T378" i="3"/>
  <c r="S378" i="3"/>
  <c r="R378" i="3"/>
  <c r="P367" i="3"/>
  <c r="N378" i="3" s="1"/>
  <c r="T356" i="3" l="1"/>
  <c r="P345" i="3"/>
  <c r="N356" i="3" s="1"/>
  <c r="T334" i="3"/>
  <c r="T313" i="3"/>
  <c r="S313" i="3"/>
  <c r="T292" i="3"/>
  <c r="T249" i="3"/>
  <c r="T205" i="3"/>
  <c r="S205" i="3"/>
  <c r="T183" i="3"/>
  <c r="S183" i="3"/>
  <c r="T161" i="3"/>
  <c r="S161" i="3"/>
  <c r="R161" i="3"/>
  <c r="Q161" i="3"/>
  <c r="P161" i="3"/>
  <c r="T138" i="3"/>
  <c r="S138" i="3"/>
  <c r="R138" i="3"/>
  <c r="Q138" i="3"/>
  <c r="P138" i="3"/>
  <c r="T115" i="3"/>
  <c r="S115" i="3"/>
  <c r="R115" i="3"/>
  <c r="T92" i="3"/>
  <c r="S92" i="3"/>
  <c r="P389" i="3"/>
  <c r="N400" i="3" s="1"/>
  <c r="P411" i="3"/>
  <c r="N422" i="3" s="1"/>
  <c r="P323" i="3"/>
  <c r="N334" i="3" s="1"/>
  <c r="P302" i="3"/>
  <c r="N313" i="3" s="1"/>
  <c r="P281" i="3"/>
  <c r="N292" i="3" s="1"/>
  <c r="P260" i="3"/>
  <c r="N271" i="3" s="1"/>
  <c r="P238" i="3"/>
  <c r="N249" i="3" s="1"/>
  <c r="P216" i="3"/>
  <c r="N227" i="3" s="1"/>
  <c r="P194" i="3"/>
  <c r="N205" i="3" s="1"/>
  <c r="P172" i="3"/>
  <c r="N183" i="3" s="1"/>
  <c r="P149" i="3"/>
  <c r="N161" i="3" s="1"/>
  <c r="P126" i="3"/>
  <c r="N138" i="3" s="1"/>
  <c r="P103" i="3"/>
  <c r="N115" i="3" s="1"/>
  <c r="P80" i="3"/>
  <c r="N92" i="3" s="1"/>
  <c r="P57" i="3"/>
  <c r="T23" i="3"/>
  <c r="X87" i="3" l="1"/>
  <c r="X86" i="3"/>
  <c r="T87" i="3"/>
  <c r="R41" i="3"/>
  <c r="X41" i="3"/>
  <c r="T41" i="3"/>
  <c r="R18" i="3"/>
  <c r="I14" i="3" l="1"/>
  <c r="I178" i="3" l="1"/>
  <c r="I199" i="3"/>
  <c r="I151" i="3"/>
  <c r="I129" i="3"/>
  <c r="I62" i="3"/>
  <c r="I106" i="3"/>
  <c r="I394" i="3"/>
  <c r="I41" i="3"/>
  <c r="I415" i="3"/>
  <c r="I85" i="3"/>
  <c r="I17" i="3"/>
  <c r="I264" i="3"/>
  <c r="I244" i="3"/>
  <c r="I222" i="3"/>
  <c r="I414" i="3" l="1"/>
  <c r="I413" i="3"/>
  <c r="I412" i="3"/>
  <c r="K410" i="3"/>
  <c r="I393" i="3"/>
  <c r="I392" i="3"/>
  <c r="I391" i="3"/>
  <c r="I390" i="3"/>
  <c r="K388" i="3"/>
  <c r="I371" i="3"/>
  <c r="Y369" i="3" s="1"/>
  <c r="I370" i="3"/>
  <c r="I369" i="3"/>
  <c r="I367" i="3"/>
  <c r="K366" i="3"/>
  <c r="I349" i="3"/>
  <c r="I348" i="3"/>
  <c r="I347" i="3"/>
  <c r="I346" i="3"/>
  <c r="K344" i="3"/>
  <c r="I328" i="3"/>
  <c r="I327" i="3"/>
  <c r="I326" i="3"/>
  <c r="I324" i="3"/>
  <c r="K323" i="3"/>
  <c r="I307" i="3"/>
  <c r="I306" i="3"/>
  <c r="I305" i="3"/>
  <c r="I304" i="3"/>
  <c r="K302" i="3"/>
  <c r="I287" i="3"/>
  <c r="I285" i="3"/>
  <c r="I284" i="3"/>
  <c r="I283" i="3"/>
  <c r="K281" i="3"/>
  <c r="I263" i="3"/>
  <c r="I262" i="3"/>
  <c r="I260" i="3"/>
  <c r="K259" i="3"/>
  <c r="I243" i="3"/>
  <c r="I242" i="3"/>
  <c r="I241" i="3"/>
  <c r="I240" i="3"/>
  <c r="I238" i="3"/>
  <c r="K237" i="3"/>
  <c r="I221" i="3"/>
  <c r="I220" i="3"/>
  <c r="I219" i="3"/>
  <c r="I218" i="3"/>
  <c r="I216" i="3"/>
  <c r="K215" i="3"/>
  <c r="I198" i="3"/>
  <c r="I197" i="3"/>
  <c r="I196" i="3"/>
  <c r="I195" i="3"/>
  <c r="K193" i="3"/>
  <c r="I177" i="3"/>
  <c r="I176" i="3"/>
  <c r="I175" i="3"/>
  <c r="I174" i="3"/>
  <c r="I172" i="3"/>
  <c r="K171" i="3"/>
  <c r="I150" i="3"/>
  <c r="K148" i="3"/>
  <c r="I128" i="3"/>
  <c r="I127" i="3"/>
  <c r="K125" i="3"/>
  <c r="I105" i="3"/>
  <c r="I104" i="3"/>
  <c r="K102" i="3"/>
  <c r="I84" i="3"/>
  <c r="I83" i="3"/>
  <c r="Y86" i="3" s="1"/>
  <c r="I82" i="3"/>
  <c r="I81" i="3"/>
  <c r="Y87" i="3" s="1"/>
  <c r="K79" i="3"/>
  <c r="I61" i="3"/>
  <c r="I60" i="3"/>
  <c r="I58" i="3"/>
  <c r="I57" i="3"/>
  <c r="K56" i="3"/>
  <c r="I40" i="3"/>
  <c r="I39" i="3"/>
  <c r="I38" i="3"/>
  <c r="I37" i="3"/>
  <c r="I36" i="3"/>
  <c r="I35" i="3"/>
  <c r="Y41" i="3"/>
  <c r="K33" i="3"/>
  <c r="I11" i="3"/>
  <c r="I16" i="3"/>
  <c r="I13" i="3"/>
  <c r="J11" i="3"/>
  <c r="K10" i="3"/>
  <c r="L10" i="3" s="1"/>
  <c r="K11" i="3" l="1"/>
  <c r="L11" i="3" s="1"/>
  <c r="J12" i="3"/>
  <c r="J126" i="3"/>
  <c r="K126" i="3" s="1"/>
  <c r="G12" i="4"/>
  <c r="F12" i="4"/>
  <c r="E12" i="4"/>
  <c r="D12" i="4"/>
  <c r="C12" i="4"/>
  <c r="R127" i="3"/>
  <c r="R126" i="3"/>
  <c r="L125" i="3"/>
  <c r="Q126" i="3" s="1"/>
  <c r="O127" i="3"/>
  <c r="U138" i="3" s="1"/>
  <c r="N12" i="4" l="1"/>
  <c r="H12" i="4"/>
  <c r="J127" i="3"/>
  <c r="J13" i="3"/>
  <c r="K12" i="3"/>
  <c r="C323" i="3"/>
  <c r="C327" i="3" s="1"/>
  <c r="F340" i="3"/>
  <c r="C344" i="3" s="1"/>
  <c r="Y349" i="3"/>
  <c r="X349" i="3"/>
  <c r="T349" i="3"/>
  <c r="W349" i="3" s="1"/>
  <c r="R350" i="3"/>
  <c r="O350" i="3"/>
  <c r="U356" i="3" s="1"/>
  <c r="G44" i="4"/>
  <c r="F44" i="4"/>
  <c r="E44" i="4"/>
  <c r="D44" i="4"/>
  <c r="C44" i="4"/>
  <c r="G10" i="4"/>
  <c r="F10" i="4"/>
  <c r="E10" i="4"/>
  <c r="D10" i="4"/>
  <c r="C10" i="4"/>
  <c r="G16" i="4"/>
  <c r="F16" i="4"/>
  <c r="E16" i="4"/>
  <c r="D16" i="4"/>
  <c r="C16" i="4"/>
  <c r="R349" i="3"/>
  <c r="R348" i="3"/>
  <c r="R347" i="3"/>
  <c r="R346" i="3"/>
  <c r="R345" i="3"/>
  <c r="R368" i="3"/>
  <c r="R367" i="3"/>
  <c r="X413" i="3"/>
  <c r="X414" i="3"/>
  <c r="T413" i="3"/>
  <c r="W413" i="3" s="1"/>
  <c r="T414" i="3"/>
  <c r="W414" i="3" s="1"/>
  <c r="R415" i="3"/>
  <c r="R414" i="3"/>
  <c r="R413" i="3"/>
  <c r="R412" i="3"/>
  <c r="R411" i="3"/>
  <c r="L410" i="3"/>
  <c r="H10" i="4" s="1"/>
  <c r="F406" i="3"/>
  <c r="C410" i="3" s="1"/>
  <c r="W369" i="3"/>
  <c r="J367" i="3"/>
  <c r="J368" i="3" s="1"/>
  <c r="L366" i="3"/>
  <c r="H16" i="4" s="1"/>
  <c r="F362" i="3"/>
  <c r="Y347" i="3"/>
  <c r="X347" i="3"/>
  <c r="T347" i="3"/>
  <c r="W347" i="3" s="1"/>
  <c r="L344" i="3"/>
  <c r="H44" i="4" s="1"/>
  <c r="F277" i="3"/>
  <c r="C281" i="3" s="1"/>
  <c r="C302" i="3"/>
  <c r="C304" i="3" s="1"/>
  <c r="Y327" i="3"/>
  <c r="X327" i="3"/>
  <c r="Y305" i="3"/>
  <c r="X305" i="3"/>
  <c r="T305" i="3"/>
  <c r="W305" i="3" s="1"/>
  <c r="O306" i="3"/>
  <c r="U313" i="3" s="1"/>
  <c r="Y285" i="3"/>
  <c r="X285" i="3"/>
  <c r="T285" i="3"/>
  <c r="W285" i="3" s="1"/>
  <c r="X284" i="3"/>
  <c r="Y284" i="3"/>
  <c r="Y283" i="3"/>
  <c r="X283" i="3"/>
  <c r="T283" i="3"/>
  <c r="W284" i="3" s="1"/>
  <c r="W283" i="3" s="1"/>
  <c r="O286" i="3"/>
  <c r="U292" i="3" s="1"/>
  <c r="X83" i="3"/>
  <c r="J369" i="3" l="1"/>
  <c r="K368" i="3"/>
  <c r="O18" i="3"/>
  <c r="P15" i="4" s="1"/>
  <c r="U378" i="3"/>
  <c r="K367" i="3"/>
  <c r="L367" i="3" s="1"/>
  <c r="C286" i="3"/>
  <c r="C287" i="3"/>
  <c r="C284" i="3"/>
  <c r="C283" i="3"/>
  <c r="C346" i="3"/>
  <c r="C347" i="3"/>
  <c r="C324" i="3"/>
  <c r="C326" i="3"/>
  <c r="C328" i="3"/>
  <c r="C325" i="3"/>
  <c r="C305" i="3"/>
  <c r="C412" i="3"/>
  <c r="C413" i="3"/>
  <c r="C415" i="3"/>
  <c r="C411" i="3"/>
  <c r="C414" i="3"/>
  <c r="C348" i="3"/>
  <c r="C303" i="3"/>
  <c r="C307" i="3"/>
  <c r="C285" i="3"/>
  <c r="C306" i="3"/>
  <c r="C345" i="3"/>
  <c r="C349" i="3"/>
  <c r="C282" i="3"/>
  <c r="K127" i="3"/>
  <c r="L127" i="3" s="1"/>
  <c r="J128" i="3"/>
  <c r="J14" i="3"/>
  <c r="J15" i="3" s="1"/>
  <c r="K13" i="3"/>
  <c r="Q345" i="3"/>
  <c r="G19" i="4"/>
  <c r="E19" i="4"/>
  <c r="D19" i="4"/>
  <c r="C19" i="4"/>
  <c r="T391" i="3"/>
  <c r="W391" i="3" s="1"/>
  <c r="T390" i="3"/>
  <c r="W390" i="3" s="1"/>
  <c r="Y265" i="3"/>
  <c r="X390" i="3"/>
  <c r="X391" i="3"/>
  <c r="X265" i="3"/>
  <c r="X241" i="3"/>
  <c r="O392" i="3"/>
  <c r="Y241" i="3"/>
  <c r="T241" i="3"/>
  <c r="W241" i="3" s="1"/>
  <c r="O243" i="3"/>
  <c r="U249" i="3" s="1"/>
  <c r="X221" i="3"/>
  <c r="X220" i="3"/>
  <c r="O106" i="3"/>
  <c r="U115" i="3" s="1"/>
  <c r="R84" i="3"/>
  <c r="R83" i="3"/>
  <c r="R82" i="3"/>
  <c r="R81" i="3"/>
  <c r="R80" i="3"/>
  <c r="Y83" i="3"/>
  <c r="T83" i="3"/>
  <c r="W83" i="3" s="1"/>
  <c r="Y81" i="3"/>
  <c r="X81" i="3"/>
  <c r="T81" i="3"/>
  <c r="W81" i="3" s="1"/>
  <c r="O84" i="3"/>
  <c r="U92" i="3" s="1"/>
  <c r="F384" i="3"/>
  <c r="L388" i="3"/>
  <c r="H19" i="4" s="1"/>
  <c r="J370" i="3" l="1"/>
  <c r="K369" i="3"/>
  <c r="L369" i="3" s="1"/>
  <c r="O41" i="3"/>
  <c r="P17" i="4" s="1"/>
  <c r="U400" i="3"/>
  <c r="N19" i="4" s="1"/>
  <c r="L368" i="3"/>
  <c r="K128" i="3"/>
  <c r="J129" i="3"/>
  <c r="P18" i="3"/>
  <c r="K14" i="3"/>
  <c r="O415" i="3"/>
  <c r="U422" i="3" s="1"/>
  <c r="J411" i="3"/>
  <c r="Q411" i="3"/>
  <c r="J389" i="3"/>
  <c r="Q389" i="3"/>
  <c r="R387" i="3"/>
  <c r="C388" i="3"/>
  <c r="N16" i="4"/>
  <c r="Q367" i="3"/>
  <c r="C366" i="3"/>
  <c r="N44" i="4"/>
  <c r="J345" i="3"/>
  <c r="Y221" i="3"/>
  <c r="Y220" i="3"/>
  <c r="T220" i="3"/>
  <c r="W220" i="3" s="1"/>
  <c r="T221" i="3"/>
  <c r="W221" i="3" s="1"/>
  <c r="O222" i="3"/>
  <c r="U227" i="3" s="1"/>
  <c r="J371" i="3" l="1"/>
  <c r="K370" i="3"/>
  <c r="L370" i="3" s="1"/>
  <c r="P12" i="3"/>
  <c r="W41" i="3"/>
  <c r="R391" i="3"/>
  <c r="R389" i="3"/>
  <c r="R390" i="3"/>
  <c r="R392" i="3"/>
  <c r="C372" i="3"/>
  <c r="C369" i="3"/>
  <c r="C370" i="3"/>
  <c r="C371" i="3"/>
  <c r="C368" i="3"/>
  <c r="C373" i="3"/>
  <c r="C367" i="3"/>
  <c r="N10" i="4"/>
  <c r="O87" i="3"/>
  <c r="C393" i="3"/>
  <c r="C389" i="3"/>
  <c r="C392" i="3"/>
  <c r="C391" i="3"/>
  <c r="C394" i="3"/>
  <c r="C390" i="3"/>
  <c r="Q15" i="4"/>
  <c r="Q18" i="3"/>
  <c r="K411" i="3"/>
  <c r="L411" i="3" s="1"/>
  <c r="Y390" i="3"/>
  <c r="K389" i="3"/>
  <c r="L389" i="3" s="1"/>
  <c r="Y391" i="3"/>
  <c r="K345" i="3"/>
  <c r="L345" i="3" s="1"/>
  <c r="K129" i="3"/>
  <c r="P127" i="3"/>
  <c r="J16" i="3"/>
  <c r="K15" i="3"/>
  <c r="J412" i="3"/>
  <c r="J413" i="3" s="1"/>
  <c r="J390" i="3"/>
  <c r="J346" i="3"/>
  <c r="U369" i="3" l="1"/>
  <c r="J372" i="3"/>
  <c r="K371" i="3"/>
  <c r="L371" i="3" s="1"/>
  <c r="P368" i="3"/>
  <c r="Q127" i="3"/>
  <c r="O138" i="3"/>
  <c r="V138" i="3" s="1"/>
  <c r="P9" i="4"/>
  <c r="W87" i="3"/>
  <c r="K413" i="3"/>
  <c r="L413" i="3" s="1"/>
  <c r="U413" i="3"/>
  <c r="K412" i="3"/>
  <c r="L412" i="3" s="1"/>
  <c r="Y414" i="3"/>
  <c r="Y413" i="3"/>
  <c r="P412" i="3"/>
  <c r="K390" i="3"/>
  <c r="L390" i="3" s="1"/>
  <c r="J391" i="3"/>
  <c r="J392" i="3" s="1"/>
  <c r="K346" i="3"/>
  <c r="L346" i="3" s="1"/>
  <c r="J347" i="3"/>
  <c r="P346" i="3"/>
  <c r="J17" i="3"/>
  <c r="K17" i="3" s="1"/>
  <c r="K16" i="3"/>
  <c r="J414" i="3"/>
  <c r="J373" i="3" l="1"/>
  <c r="K373" i="3" s="1"/>
  <c r="L373" i="3" s="1"/>
  <c r="K372" i="3"/>
  <c r="L372" i="3" s="1"/>
  <c r="Q412" i="3"/>
  <c r="O422" i="3"/>
  <c r="Q346" i="3"/>
  <c r="O356" i="3"/>
  <c r="I44" i="4" s="1"/>
  <c r="P413" i="3"/>
  <c r="P422" i="3" s="1"/>
  <c r="K414" i="3"/>
  <c r="L414" i="3" s="1"/>
  <c r="I10" i="4"/>
  <c r="K392" i="3"/>
  <c r="L392" i="3" s="1"/>
  <c r="U390" i="3"/>
  <c r="P390" i="3" s="1"/>
  <c r="O400" i="3" s="1"/>
  <c r="K391" i="3"/>
  <c r="L391" i="3" s="1"/>
  <c r="K347" i="3"/>
  <c r="L347" i="3" s="1"/>
  <c r="U347" i="3"/>
  <c r="P347" i="3" s="1"/>
  <c r="J348" i="3"/>
  <c r="P348" i="3" s="1"/>
  <c r="J415" i="3"/>
  <c r="J393" i="3"/>
  <c r="K393" i="3" s="1"/>
  <c r="O378" i="3"/>
  <c r="Q348" i="3" l="1"/>
  <c r="Q356" i="3"/>
  <c r="Q347" i="3"/>
  <c r="P356" i="3"/>
  <c r="J44" i="4" s="1"/>
  <c r="Q413" i="3"/>
  <c r="J10" i="4"/>
  <c r="P415" i="3"/>
  <c r="K415" i="3"/>
  <c r="L415" i="3" s="1"/>
  <c r="U414" i="3"/>
  <c r="P414" i="3" s="1"/>
  <c r="Q390" i="3"/>
  <c r="I19" i="4"/>
  <c r="Q368" i="3"/>
  <c r="K348" i="3"/>
  <c r="L348" i="3" s="1"/>
  <c r="J349" i="3"/>
  <c r="L393" i="3"/>
  <c r="J394" i="3"/>
  <c r="Q415" i="3" l="1"/>
  <c r="R422" i="3"/>
  <c r="Q414" i="3"/>
  <c r="Q422" i="3"/>
  <c r="U391" i="3"/>
  <c r="P391" i="3" s="1"/>
  <c r="P400" i="3" s="1"/>
  <c r="K394" i="3"/>
  <c r="L394" i="3" s="1"/>
  <c r="P392" i="3"/>
  <c r="I16" i="4"/>
  <c r="K349" i="3"/>
  <c r="L349" i="3" s="1"/>
  <c r="P350" i="3"/>
  <c r="S356" i="3" s="1"/>
  <c r="U349" i="3"/>
  <c r="P349" i="3" s="1"/>
  <c r="V422" i="3" l="1"/>
  <c r="O10" i="4" s="1"/>
  <c r="Q349" i="3"/>
  <c r="R356" i="3"/>
  <c r="V356" i="3" s="1"/>
  <c r="Q392" i="3"/>
  <c r="Q400" i="3"/>
  <c r="V400" i="3" s="1"/>
  <c r="K10" i="4"/>
  <c r="Q391" i="3"/>
  <c r="J19" i="4"/>
  <c r="Q350" i="3"/>
  <c r="P378" i="3"/>
  <c r="Q378" i="3"/>
  <c r="O150" i="3"/>
  <c r="U161" i="3" s="1"/>
  <c r="L44" i="4" l="1"/>
  <c r="V378" i="3"/>
  <c r="O19" i="4"/>
  <c r="O44" i="4"/>
  <c r="K44" i="4"/>
  <c r="J16" i="4"/>
  <c r="J303" i="3"/>
  <c r="Y197" i="3"/>
  <c r="T197" i="3"/>
  <c r="W197" i="3" s="1"/>
  <c r="X197" i="3"/>
  <c r="R14" i="3"/>
  <c r="O198" i="3"/>
  <c r="U205" i="3" s="1"/>
  <c r="Y174" i="3"/>
  <c r="Y175" i="3"/>
  <c r="X174" i="3"/>
  <c r="X175" i="3"/>
  <c r="Y176" i="3"/>
  <c r="W176" i="3"/>
  <c r="T175" i="3"/>
  <c r="T174" i="3"/>
  <c r="W174" i="3" s="1"/>
  <c r="O176" i="3"/>
  <c r="U183" i="3" s="1"/>
  <c r="Y58" i="3"/>
  <c r="X58" i="3"/>
  <c r="T58" i="3"/>
  <c r="W58" i="3" s="1"/>
  <c r="O59" i="3"/>
  <c r="Y36" i="3"/>
  <c r="X36" i="3"/>
  <c r="Y15" i="3"/>
  <c r="X15" i="3"/>
  <c r="T36" i="3"/>
  <c r="W36" i="3" s="1"/>
  <c r="O38" i="3"/>
  <c r="P34" i="3"/>
  <c r="P11" i="3"/>
  <c r="N23" i="3" s="1"/>
  <c r="S46" i="3"/>
  <c r="T15" i="3"/>
  <c r="W15" i="3" s="1"/>
  <c r="O16" i="3"/>
  <c r="U23" i="3" s="1"/>
  <c r="R11" i="3"/>
  <c r="R16" i="3"/>
  <c r="R15" i="3"/>
  <c r="R13" i="3"/>
  <c r="R12" i="3"/>
  <c r="K303" i="3" l="1"/>
  <c r="P303" i="3"/>
  <c r="O313" i="3" s="1"/>
  <c r="J304" i="3"/>
  <c r="O16" i="4"/>
  <c r="W175" i="3"/>
  <c r="K304" i="3" l="1"/>
  <c r="J305" i="3"/>
  <c r="P304" i="3"/>
  <c r="P313" i="3" s="1"/>
  <c r="J34" i="3"/>
  <c r="K34" i="3" s="1"/>
  <c r="J57" i="3"/>
  <c r="K305" i="3" l="1"/>
  <c r="L305" i="3" s="1"/>
  <c r="J306" i="3"/>
  <c r="J58" i="3"/>
  <c r="K57" i="3"/>
  <c r="L12" i="3"/>
  <c r="J35" i="3"/>
  <c r="K306" i="3" l="1"/>
  <c r="L306" i="3" s="1"/>
  <c r="J307" i="3"/>
  <c r="J59" i="3"/>
  <c r="K58" i="3"/>
  <c r="J36" i="3"/>
  <c r="K35" i="3"/>
  <c r="L13" i="3"/>
  <c r="P35" i="3"/>
  <c r="L126" i="3"/>
  <c r="C125" i="3"/>
  <c r="K307" i="3" l="1"/>
  <c r="L307" i="3" s="1"/>
  <c r="P306" i="3"/>
  <c r="R313" i="3" s="1"/>
  <c r="U305" i="3"/>
  <c r="P305" i="3" s="1"/>
  <c r="Q313" i="3" s="1"/>
  <c r="J60" i="3"/>
  <c r="K59" i="3"/>
  <c r="J37" i="3"/>
  <c r="U41" i="3" s="1"/>
  <c r="P41" i="3" s="1"/>
  <c r="K36" i="3"/>
  <c r="L14" i="3"/>
  <c r="P13" i="3"/>
  <c r="P23" i="3" s="1"/>
  <c r="C127" i="3"/>
  <c r="C128" i="3"/>
  <c r="C129" i="3"/>
  <c r="C126" i="3"/>
  <c r="F50" i="4"/>
  <c r="E50" i="4"/>
  <c r="D50" i="4"/>
  <c r="C50" i="4"/>
  <c r="G41" i="4"/>
  <c r="F41" i="4"/>
  <c r="E41" i="4"/>
  <c r="D41" i="4"/>
  <c r="C41" i="4"/>
  <c r="G40" i="4"/>
  <c r="F40" i="4"/>
  <c r="E40" i="4"/>
  <c r="D40" i="4"/>
  <c r="C40" i="4"/>
  <c r="G26" i="4"/>
  <c r="F26" i="4"/>
  <c r="E26" i="4"/>
  <c r="D26" i="4"/>
  <c r="C26" i="4"/>
  <c r="G29" i="4"/>
  <c r="F29" i="4"/>
  <c r="E29" i="4"/>
  <c r="D29" i="4"/>
  <c r="C29" i="4"/>
  <c r="G28" i="4"/>
  <c r="F28" i="4"/>
  <c r="E28" i="4"/>
  <c r="D28" i="4"/>
  <c r="C28" i="4"/>
  <c r="G23" i="4"/>
  <c r="F23" i="4"/>
  <c r="E23" i="4"/>
  <c r="D23" i="4"/>
  <c r="C23" i="4"/>
  <c r="G22" i="4"/>
  <c r="F22" i="4"/>
  <c r="E22" i="4"/>
  <c r="D22" i="4"/>
  <c r="C22" i="4"/>
  <c r="G13" i="4"/>
  <c r="F13" i="4"/>
  <c r="E13" i="4"/>
  <c r="D13" i="4"/>
  <c r="C13" i="4"/>
  <c r="G11" i="4"/>
  <c r="F11" i="4"/>
  <c r="E11" i="4"/>
  <c r="D11" i="4"/>
  <c r="C11" i="4"/>
  <c r="G9" i="4"/>
  <c r="F9" i="4"/>
  <c r="E9" i="4"/>
  <c r="D9" i="4"/>
  <c r="C9" i="4"/>
  <c r="U69" i="3"/>
  <c r="N18" i="4" s="1"/>
  <c r="T69" i="3"/>
  <c r="S69" i="3"/>
  <c r="R69" i="3"/>
  <c r="N69" i="3"/>
  <c r="G18" i="4"/>
  <c r="F18" i="4"/>
  <c r="E18" i="4"/>
  <c r="D18" i="4"/>
  <c r="C18" i="4"/>
  <c r="T46" i="3"/>
  <c r="N46" i="3"/>
  <c r="G17" i="4"/>
  <c r="F17" i="4"/>
  <c r="E17" i="4"/>
  <c r="D17" i="4"/>
  <c r="C17" i="4"/>
  <c r="G15" i="4"/>
  <c r="F15" i="4"/>
  <c r="E15" i="4"/>
  <c r="D15" i="4"/>
  <c r="C15" i="4"/>
  <c r="V313" i="3" l="1"/>
  <c r="Q41" i="3"/>
  <c r="Q17" i="4"/>
  <c r="J61" i="3"/>
  <c r="K60" i="3"/>
  <c r="K37" i="3"/>
  <c r="J38" i="3"/>
  <c r="U36" i="3"/>
  <c r="P36" i="3" s="1"/>
  <c r="P14" i="3"/>
  <c r="Q23" i="3" s="1"/>
  <c r="Q12" i="3" l="1"/>
  <c r="O23" i="3"/>
  <c r="J62" i="3"/>
  <c r="K61" i="3"/>
  <c r="J39" i="3"/>
  <c r="K38" i="3"/>
  <c r="L128" i="3"/>
  <c r="L129" i="3"/>
  <c r="T265" i="3"/>
  <c r="F75" i="3"/>
  <c r="K62" i="3" l="1"/>
  <c r="U58" i="3"/>
  <c r="P58" i="3" s="1"/>
  <c r="P59" i="3"/>
  <c r="K39" i="3"/>
  <c r="J40" i="3"/>
  <c r="U15" i="3"/>
  <c r="P15" i="3" s="1"/>
  <c r="R23" i="3" s="1"/>
  <c r="P16" i="3"/>
  <c r="S23" i="3" s="1"/>
  <c r="C261" i="3"/>
  <c r="C262" i="3"/>
  <c r="C263" i="3"/>
  <c r="C264" i="3"/>
  <c r="C260" i="3"/>
  <c r="J41" i="3" l="1"/>
  <c r="K40" i="3"/>
  <c r="P37" i="3"/>
  <c r="L56" i="3"/>
  <c r="H18" i="4" s="1"/>
  <c r="P38" i="3" l="1"/>
  <c r="K41" i="3"/>
  <c r="R321" i="3"/>
  <c r="O328" i="3"/>
  <c r="T327" i="3"/>
  <c r="W327" i="3" s="1"/>
  <c r="G50" i="4"/>
  <c r="J324" i="3"/>
  <c r="R300" i="3"/>
  <c r="N41" i="4"/>
  <c r="L302" i="3"/>
  <c r="R279" i="3"/>
  <c r="N40" i="4"/>
  <c r="L281" i="3"/>
  <c r="J282" i="3"/>
  <c r="U334" i="3" l="1"/>
  <c r="N50" i="4" s="1"/>
  <c r="R304" i="3"/>
  <c r="R305" i="3"/>
  <c r="R303" i="3"/>
  <c r="R302" i="3"/>
  <c r="R306" i="3"/>
  <c r="R283" i="3"/>
  <c r="R282" i="3"/>
  <c r="R286" i="3"/>
  <c r="R281" i="3"/>
  <c r="R285" i="3"/>
  <c r="R284" i="3"/>
  <c r="R324" i="3"/>
  <c r="R328" i="3"/>
  <c r="R325" i="3"/>
  <c r="R326" i="3"/>
  <c r="K324" i="3"/>
  <c r="L324" i="3" s="1"/>
  <c r="J283" i="3"/>
  <c r="P282" i="3" s="1"/>
  <c r="O292" i="3" s="1"/>
  <c r="K282" i="3"/>
  <c r="L282" i="3" s="1"/>
  <c r="R46" i="3"/>
  <c r="Q38" i="3"/>
  <c r="L323" i="3"/>
  <c r="H50" i="4" s="1"/>
  <c r="Q281" i="3"/>
  <c r="H40" i="4"/>
  <c r="Q302" i="3"/>
  <c r="H41" i="4"/>
  <c r="R323" i="3"/>
  <c r="R327" i="3"/>
  <c r="L303" i="3"/>
  <c r="L304" i="3"/>
  <c r="J325" i="3"/>
  <c r="K325" i="3" s="1"/>
  <c r="R217" i="3"/>
  <c r="R218" i="3"/>
  <c r="R219" i="3"/>
  <c r="R220" i="3"/>
  <c r="R221" i="3"/>
  <c r="R222" i="3"/>
  <c r="R216" i="3"/>
  <c r="R192" i="3"/>
  <c r="R196" i="3" s="1"/>
  <c r="R170" i="3"/>
  <c r="R173" i="3" s="1"/>
  <c r="R147" i="3"/>
  <c r="R150" i="3" s="1"/>
  <c r="R101" i="3"/>
  <c r="R55" i="3"/>
  <c r="R59" i="3" s="1"/>
  <c r="R34" i="3"/>
  <c r="O266" i="3"/>
  <c r="W265" i="3"/>
  <c r="L259" i="3"/>
  <c r="J260" i="3"/>
  <c r="N29" i="4"/>
  <c r="L237" i="3"/>
  <c r="J238" i="3"/>
  <c r="C239" i="3"/>
  <c r="C240" i="3"/>
  <c r="C241" i="3"/>
  <c r="C242" i="3"/>
  <c r="C243" i="3"/>
  <c r="C244" i="3"/>
  <c r="C238" i="3"/>
  <c r="F211" i="3"/>
  <c r="N28" i="4"/>
  <c r="L215" i="3"/>
  <c r="J216" i="3"/>
  <c r="K216" i="3" s="1"/>
  <c r="C217" i="3"/>
  <c r="C218" i="3"/>
  <c r="C219" i="3"/>
  <c r="C220" i="3"/>
  <c r="C221" i="3"/>
  <c r="C222" i="3"/>
  <c r="C216" i="3"/>
  <c r="N23" i="4"/>
  <c r="L193" i="3"/>
  <c r="J194" i="3"/>
  <c r="K194" i="3" s="1"/>
  <c r="C195" i="3"/>
  <c r="C196" i="3"/>
  <c r="C197" i="3"/>
  <c r="C198" i="3"/>
  <c r="C199" i="3"/>
  <c r="C194" i="3"/>
  <c r="L171" i="3"/>
  <c r="N22" i="4"/>
  <c r="J172" i="3"/>
  <c r="K172" i="3" s="1"/>
  <c r="C173" i="3"/>
  <c r="C174" i="3"/>
  <c r="C175" i="3"/>
  <c r="C176" i="3"/>
  <c r="C177" i="3"/>
  <c r="C178" i="3"/>
  <c r="C172" i="3"/>
  <c r="N13" i="4"/>
  <c r="L148" i="3"/>
  <c r="J149" i="3"/>
  <c r="K149" i="3" s="1"/>
  <c r="C150" i="3"/>
  <c r="C151" i="3"/>
  <c r="C149" i="3"/>
  <c r="L102" i="3"/>
  <c r="Q103" i="3" s="1"/>
  <c r="C79" i="3"/>
  <c r="U271" i="3" l="1"/>
  <c r="N26" i="4" s="1"/>
  <c r="J284" i="3"/>
  <c r="K284" i="3" s="1"/>
  <c r="L284" i="3" s="1"/>
  <c r="Q323" i="3"/>
  <c r="P324" i="3"/>
  <c r="P325" i="3"/>
  <c r="P334" i="3" s="1"/>
  <c r="P326" i="3"/>
  <c r="Q334" i="3" s="1"/>
  <c r="K283" i="3"/>
  <c r="L283" i="3" s="1"/>
  <c r="K260" i="3"/>
  <c r="L260" i="3" s="1"/>
  <c r="K238" i="3"/>
  <c r="L238" i="3" s="1"/>
  <c r="Q216" i="3"/>
  <c r="H28" i="4"/>
  <c r="Q260" i="3"/>
  <c r="H26" i="4"/>
  <c r="L149" i="3"/>
  <c r="Q172" i="3"/>
  <c r="H22" i="4"/>
  <c r="Q194" i="3"/>
  <c r="H23" i="4"/>
  <c r="R105" i="3"/>
  <c r="R103" i="3"/>
  <c r="Q149" i="3"/>
  <c r="H13" i="4"/>
  <c r="J217" i="3"/>
  <c r="Q238" i="3"/>
  <c r="H29" i="4"/>
  <c r="Q303" i="3"/>
  <c r="Q304" i="3"/>
  <c r="J41" i="4"/>
  <c r="Q305" i="3"/>
  <c r="K41" i="4"/>
  <c r="Q282" i="3"/>
  <c r="J195" i="3"/>
  <c r="J173" i="3"/>
  <c r="J150" i="3"/>
  <c r="K150" i="3" s="1"/>
  <c r="H11" i="4"/>
  <c r="R106" i="3"/>
  <c r="L194" i="3"/>
  <c r="R104" i="3"/>
  <c r="R149" i="3"/>
  <c r="R57" i="3"/>
  <c r="R58" i="3"/>
  <c r="R172" i="3"/>
  <c r="R174" i="3"/>
  <c r="R176" i="3"/>
  <c r="R194" i="3"/>
  <c r="R197" i="3"/>
  <c r="R195" i="3"/>
  <c r="R175" i="3"/>
  <c r="R198" i="3"/>
  <c r="L325" i="3"/>
  <c r="J326" i="3"/>
  <c r="K326" i="3" s="1"/>
  <c r="L172" i="3"/>
  <c r="L216" i="3"/>
  <c r="J261" i="3"/>
  <c r="J239" i="3"/>
  <c r="K239" i="3" s="1"/>
  <c r="F98" i="3"/>
  <c r="C102" i="3" s="1"/>
  <c r="N11" i="4"/>
  <c r="J103" i="3"/>
  <c r="N9" i="4"/>
  <c r="L79" i="3"/>
  <c r="Q80" i="3" s="1"/>
  <c r="J80" i="3"/>
  <c r="C81" i="3"/>
  <c r="C82" i="3"/>
  <c r="C83" i="3"/>
  <c r="C84" i="3"/>
  <c r="C85" i="3"/>
  <c r="C80" i="3"/>
  <c r="F52" i="3"/>
  <c r="Q57" i="3"/>
  <c r="C58" i="3"/>
  <c r="C59" i="3"/>
  <c r="C60" i="3"/>
  <c r="C61" i="3"/>
  <c r="C62" i="3"/>
  <c r="C57" i="3"/>
  <c r="F29" i="3"/>
  <c r="U46" i="3"/>
  <c r="N17" i="4" s="1"/>
  <c r="L33" i="3"/>
  <c r="C35" i="3"/>
  <c r="C36" i="3"/>
  <c r="C37" i="3"/>
  <c r="C38" i="3"/>
  <c r="C39" i="3"/>
  <c r="C40" i="3"/>
  <c r="C41" i="3"/>
  <c r="C34" i="3"/>
  <c r="C11" i="3"/>
  <c r="C17" i="3"/>
  <c r="C16" i="3"/>
  <c r="C15" i="3"/>
  <c r="C14" i="3"/>
  <c r="C13" i="3"/>
  <c r="C12" i="3"/>
  <c r="F6" i="3"/>
  <c r="N15" i="4"/>
  <c r="Q324" i="3" l="1"/>
  <c r="O334" i="3"/>
  <c r="I50" i="4" s="1"/>
  <c r="J285" i="3"/>
  <c r="J286" i="3" s="1"/>
  <c r="K261" i="3"/>
  <c r="L261" i="3" s="1"/>
  <c r="P261" i="3"/>
  <c r="P240" i="3"/>
  <c r="P249" i="3" s="1"/>
  <c r="P239" i="3"/>
  <c r="J218" i="3"/>
  <c r="K217" i="3"/>
  <c r="L217" i="3" s="1"/>
  <c r="P218" i="3"/>
  <c r="P227" i="3" s="1"/>
  <c r="J196" i="3"/>
  <c r="K196" i="3" s="1"/>
  <c r="L196" i="3" s="1"/>
  <c r="K195" i="3"/>
  <c r="L195" i="3" s="1"/>
  <c r="K173" i="3"/>
  <c r="L173" i="3" s="1"/>
  <c r="K103" i="3"/>
  <c r="L103" i="3" s="1"/>
  <c r="K80" i="3"/>
  <c r="L80" i="3" s="1"/>
  <c r="P219" i="3"/>
  <c r="P217" i="3"/>
  <c r="O227" i="3" s="1"/>
  <c r="P195" i="3"/>
  <c r="Q11" i="3"/>
  <c r="H15" i="4"/>
  <c r="C103" i="3"/>
  <c r="C104" i="3"/>
  <c r="C106" i="3"/>
  <c r="J174" i="3"/>
  <c r="K174" i="3" s="1"/>
  <c r="P173" i="3"/>
  <c r="J151" i="3"/>
  <c r="K151" i="3" s="1"/>
  <c r="Q325" i="3"/>
  <c r="Q306" i="3"/>
  <c r="I41" i="4"/>
  <c r="I40" i="4"/>
  <c r="L150" i="3"/>
  <c r="O46" i="3"/>
  <c r="Q34" i="3"/>
  <c r="H17" i="4"/>
  <c r="H9" i="4"/>
  <c r="L326" i="3"/>
  <c r="L239" i="3"/>
  <c r="C105" i="3"/>
  <c r="J327" i="3"/>
  <c r="K327" i="3" s="1"/>
  <c r="J262" i="3"/>
  <c r="K262" i="3" s="1"/>
  <c r="J240" i="3"/>
  <c r="J104" i="3"/>
  <c r="L59" i="3"/>
  <c r="L57" i="3"/>
  <c r="L58" i="3"/>
  <c r="J81" i="3"/>
  <c r="L34" i="3"/>
  <c r="Q218" i="3" l="1"/>
  <c r="O205" i="3"/>
  <c r="I23" i="4" s="1"/>
  <c r="Q239" i="3"/>
  <c r="O249" i="3"/>
  <c r="O183" i="3"/>
  <c r="O271" i="3"/>
  <c r="I26" i="4" s="1"/>
  <c r="Q227" i="3"/>
  <c r="U283" i="3"/>
  <c r="P283" i="3" s="1"/>
  <c r="K285" i="3"/>
  <c r="L285" i="3" s="1"/>
  <c r="Q261" i="3"/>
  <c r="I29" i="4"/>
  <c r="K286" i="3"/>
  <c r="L286" i="3" s="1"/>
  <c r="J287" i="3"/>
  <c r="P284" i="3"/>
  <c r="P263" i="3"/>
  <c r="Q271" i="3" s="1"/>
  <c r="P264" i="3"/>
  <c r="R271" i="3" s="1"/>
  <c r="U241" i="3"/>
  <c r="P241" i="3" s="1"/>
  <c r="Q249" i="3" s="1"/>
  <c r="K240" i="3"/>
  <c r="L240" i="3" s="1"/>
  <c r="J219" i="3"/>
  <c r="K218" i="3"/>
  <c r="L218" i="3" s="1"/>
  <c r="J197" i="3"/>
  <c r="J198" i="3" s="1"/>
  <c r="K198" i="3" s="1"/>
  <c r="K104" i="3"/>
  <c r="L104" i="3" s="1"/>
  <c r="K81" i="3"/>
  <c r="L81" i="3" s="1"/>
  <c r="P82" i="3"/>
  <c r="P92" i="3" s="1"/>
  <c r="J9" i="4" s="1"/>
  <c r="P81" i="3"/>
  <c r="O92" i="3" s="1"/>
  <c r="Q173" i="3"/>
  <c r="Q195" i="3"/>
  <c r="J28" i="4"/>
  <c r="Q217" i="3"/>
  <c r="Q219" i="3"/>
  <c r="L151" i="3"/>
  <c r="P150" i="3"/>
  <c r="O161" i="3" s="1"/>
  <c r="V161" i="3" s="1"/>
  <c r="J175" i="3"/>
  <c r="K175" i="3" s="1"/>
  <c r="U174" i="3"/>
  <c r="P174" i="3" s="1"/>
  <c r="L174" i="3"/>
  <c r="O41" i="4"/>
  <c r="Q326" i="3"/>
  <c r="K50" i="4"/>
  <c r="J50" i="4"/>
  <c r="P262" i="3"/>
  <c r="P271" i="3" s="1"/>
  <c r="Q240" i="3"/>
  <c r="I28" i="4"/>
  <c r="O69" i="3"/>
  <c r="I18" i="4" s="1"/>
  <c r="Q58" i="3"/>
  <c r="L35" i="3"/>
  <c r="I17" i="4"/>
  <c r="Q35" i="3"/>
  <c r="L327" i="3"/>
  <c r="J328" i="3"/>
  <c r="J263" i="3"/>
  <c r="L262" i="3"/>
  <c r="J241" i="3"/>
  <c r="K241" i="3" s="1"/>
  <c r="J105" i="3"/>
  <c r="P105" i="3" s="1"/>
  <c r="J82" i="3"/>
  <c r="K82" i="3" s="1"/>
  <c r="Q292" i="3" l="1"/>
  <c r="K40" i="4" s="1"/>
  <c r="K28" i="4"/>
  <c r="Q105" i="3"/>
  <c r="P115" i="3"/>
  <c r="P183" i="3"/>
  <c r="J22" i="4" s="1"/>
  <c r="P292" i="3"/>
  <c r="J40" i="4" s="1"/>
  <c r="I22" i="4"/>
  <c r="Q283" i="3"/>
  <c r="K328" i="3"/>
  <c r="L328" i="3" s="1"/>
  <c r="P328" i="3"/>
  <c r="S334" i="3" s="1"/>
  <c r="Q284" i="3"/>
  <c r="K287" i="3"/>
  <c r="L287" i="3" s="1"/>
  <c r="U285" i="3"/>
  <c r="P285" i="3" s="1"/>
  <c r="R292" i="3" s="1"/>
  <c r="P286" i="3"/>
  <c r="S292" i="3" s="1"/>
  <c r="L26" i="4"/>
  <c r="K263" i="3"/>
  <c r="L263" i="3" s="1"/>
  <c r="K219" i="3"/>
  <c r="L219" i="3" s="1"/>
  <c r="J220" i="3"/>
  <c r="K197" i="3"/>
  <c r="L197" i="3" s="1"/>
  <c r="P196" i="3"/>
  <c r="K105" i="3"/>
  <c r="L105" i="3" s="1"/>
  <c r="P104" i="3"/>
  <c r="U81" i="3"/>
  <c r="Q150" i="3"/>
  <c r="J29" i="4"/>
  <c r="Q174" i="3"/>
  <c r="J176" i="3"/>
  <c r="K176" i="3" s="1"/>
  <c r="L175" i="3"/>
  <c r="K26" i="4"/>
  <c r="Q263" i="3"/>
  <c r="Q264" i="3"/>
  <c r="J26" i="4"/>
  <c r="Q262" i="3"/>
  <c r="K29" i="4"/>
  <c r="Q241" i="3"/>
  <c r="J199" i="3"/>
  <c r="L198" i="3"/>
  <c r="Q13" i="3"/>
  <c r="J15" i="4"/>
  <c r="P46" i="3"/>
  <c r="Q36" i="3"/>
  <c r="Q14" i="3"/>
  <c r="K15" i="4"/>
  <c r="P69" i="3"/>
  <c r="Q59" i="3"/>
  <c r="L36" i="3"/>
  <c r="L60" i="3"/>
  <c r="I15" i="4"/>
  <c r="U327" i="3"/>
  <c r="P327" i="3" s="1"/>
  <c r="R334" i="3" s="1"/>
  <c r="J264" i="3"/>
  <c r="L241" i="3"/>
  <c r="J242" i="3"/>
  <c r="J106" i="3"/>
  <c r="J83" i="3"/>
  <c r="K83" i="3" s="1"/>
  <c r="L82" i="3"/>
  <c r="V334" i="3" l="1"/>
  <c r="P205" i="3"/>
  <c r="J23" i="4" s="1"/>
  <c r="Q104" i="3"/>
  <c r="O115" i="3"/>
  <c r="V292" i="3"/>
  <c r="O13" i="4"/>
  <c r="Q196" i="3"/>
  <c r="Q286" i="3"/>
  <c r="M40" i="4"/>
  <c r="Q285" i="3"/>
  <c r="U265" i="3"/>
  <c r="K264" i="3"/>
  <c r="L264" i="3" s="1"/>
  <c r="K242" i="3"/>
  <c r="L242" i="3" s="1"/>
  <c r="P242" i="3"/>
  <c r="U220" i="3"/>
  <c r="P220" i="3" s="1"/>
  <c r="R227" i="3" s="1"/>
  <c r="K220" i="3"/>
  <c r="L220" i="3" s="1"/>
  <c r="J221" i="3"/>
  <c r="U197" i="3"/>
  <c r="P197" i="3" s="1"/>
  <c r="Q205" i="3" s="1"/>
  <c r="K199" i="3"/>
  <c r="L199" i="3" s="1"/>
  <c r="K106" i="3"/>
  <c r="L106" i="3" s="1"/>
  <c r="P106" i="3"/>
  <c r="I11" i="4"/>
  <c r="Q82" i="3"/>
  <c r="Q81" i="3"/>
  <c r="I9" i="4"/>
  <c r="L176" i="3"/>
  <c r="J177" i="3"/>
  <c r="K177" i="3" s="1"/>
  <c r="Q327" i="3"/>
  <c r="Q328" i="3"/>
  <c r="P198" i="3"/>
  <c r="R205" i="3" s="1"/>
  <c r="J11" i="4"/>
  <c r="J17" i="4"/>
  <c r="L61" i="3"/>
  <c r="Q46" i="3"/>
  <c r="K17" i="4" s="1"/>
  <c r="L37" i="3"/>
  <c r="P266" i="3"/>
  <c r="T271" i="3" s="1"/>
  <c r="J243" i="3"/>
  <c r="K243" i="3" s="1"/>
  <c r="L15" i="3"/>
  <c r="J84" i="3"/>
  <c r="L83" i="3"/>
  <c r="Q106" i="3" l="1"/>
  <c r="Q115" i="3"/>
  <c r="V205" i="3"/>
  <c r="Q242" i="3"/>
  <c r="R249" i="3"/>
  <c r="L29" i="4" s="1"/>
  <c r="V115" i="3"/>
  <c r="L40" i="4"/>
  <c r="O40" i="4"/>
  <c r="P265" i="3"/>
  <c r="U221" i="3"/>
  <c r="P221" i="3" s="1"/>
  <c r="S227" i="3" s="1"/>
  <c r="K221" i="3"/>
  <c r="L221" i="3" s="1"/>
  <c r="J222" i="3"/>
  <c r="L28" i="4"/>
  <c r="Q220" i="3"/>
  <c r="U83" i="3"/>
  <c r="P83" i="3" s="1"/>
  <c r="K84" i="3"/>
  <c r="L84" i="3" s="1"/>
  <c r="L50" i="4"/>
  <c r="O50" i="4"/>
  <c r="J178" i="3"/>
  <c r="K178" i="3" s="1"/>
  <c r="L177" i="3"/>
  <c r="Q266" i="3"/>
  <c r="L243" i="3"/>
  <c r="Q197" i="3"/>
  <c r="Q198" i="3"/>
  <c r="L15" i="4"/>
  <c r="Q37" i="3"/>
  <c r="L38" i="3"/>
  <c r="L62" i="3"/>
  <c r="J244" i="3"/>
  <c r="J85" i="3"/>
  <c r="U87" i="3" s="1"/>
  <c r="Q15" i="3"/>
  <c r="L16" i="3"/>
  <c r="P87" i="3" l="1"/>
  <c r="Q87" i="3" s="1"/>
  <c r="Q265" i="3"/>
  <c r="S271" i="3"/>
  <c r="V271" i="3" s="1"/>
  <c r="Q92" i="3"/>
  <c r="K9" i="4" s="1"/>
  <c r="Q83" i="3"/>
  <c r="K244" i="3"/>
  <c r="L244" i="3" s="1"/>
  <c r="P243" i="3"/>
  <c r="S249" i="3" s="1"/>
  <c r="V249" i="3" s="1"/>
  <c r="P222" i="3"/>
  <c r="T227" i="3" s="1"/>
  <c r="V227" i="3" s="1"/>
  <c r="K222" i="3"/>
  <c r="L222" i="3" s="1"/>
  <c r="M28" i="4"/>
  <c r="Q221" i="3"/>
  <c r="K85" i="3"/>
  <c r="L85" i="3" s="1"/>
  <c r="P84" i="3"/>
  <c r="R92" i="3" s="1"/>
  <c r="L178" i="3"/>
  <c r="P176" i="3"/>
  <c r="R183" i="3" s="1"/>
  <c r="U175" i="3"/>
  <c r="P175" i="3" s="1"/>
  <c r="Q183" i="3" s="1"/>
  <c r="K23" i="4"/>
  <c r="O23" i="4"/>
  <c r="L39" i="3"/>
  <c r="L17" i="3"/>
  <c r="Q9" i="4" l="1"/>
  <c r="M26" i="4"/>
  <c r="V183" i="3"/>
  <c r="V92" i="3"/>
  <c r="O9" i="4" s="1"/>
  <c r="O26" i="4"/>
  <c r="Q243" i="3"/>
  <c r="O28" i="4"/>
  <c r="Q222" i="3"/>
  <c r="Q84" i="3"/>
  <c r="O29" i="4"/>
  <c r="O11" i="4"/>
  <c r="Q175" i="3"/>
  <c r="Q176" i="3"/>
  <c r="Q16" i="3"/>
  <c r="L40" i="3"/>
  <c r="Q69" i="3"/>
  <c r="O22" i="4" l="1"/>
  <c r="K22" i="4"/>
  <c r="L41" i="3"/>
  <c r="V69" i="3"/>
  <c r="O18" i="4" s="1"/>
  <c r="V23" i="3" l="1"/>
  <c r="O15" i="4" s="1"/>
  <c r="V46" i="3"/>
  <c r="O17" i="4" s="1"/>
  <c r="O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Petrillo-Groh, Laura</author>
  </authors>
  <commentList>
    <comment ref="N50" authorId="0" shapeId="0" xr:uid="{00000000-0006-0000-0100-000001000000}">
      <text>
        <r>
          <rPr>
            <b/>
            <sz val="9"/>
            <color indexed="81"/>
            <rFont val="Tahoma"/>
            <family val="2"/>
          </rPr>
          <t>Petrillo-Groh, Laura:</t>
        </r>
        <r>
          <rPr>
            <sz val="9"/>
            <color indexed="81"/>
            <rFont val="Tahoma"/>
            <family val="2"/>
          </rPr>
          <t xml:space="preserve">
Update Design Option Curves.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Petrillo-Groh, Laura</author>
  </authors>
  <commentList>
    <comment ref="I12" authorId="0" shapeId="0" xr:uid="{00000000-0006-0000-0200-000001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34" authorId="0" shapeId="0" xr:uid="{00000000-0006-0000-0200-000002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59" authorId="0" shapeId="0" xr:uid="{00000000-0006-0000-0200-000003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80" authorId="0" shapeId="0" xr:uid="{00000000-0006-0000-0200-000004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103" authorId="0" shapeId="0" xr:uid="{00000000-0006-0000-0200-000005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126" authorId="0" shapeId="0" xr:uid="{00000000-0006-0000-0200-000006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149" authorId="0" shapeId="0" xr:uid="{00000000-0006-0000-0200-000007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173" authorId="0" shapeId="0" xr:uid="{00000000-0006-0000-0200-000008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194" authorId="0" shapeId="0" xr:uid="{00000000-0006-0000-0200-000009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217" authorId="0" shapeId="0" xr:uid="{00000000-0006-0000-0200-00000A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Rule.Applied Eq 5.2 from TSD with 2% increase in EER for 5% cost increase to be consistent with CRE Final Rule.</t>
        </r>
      </text>
    </comment>
    <comment ref="I239" authorId="0" shapeId="0" xr:uid="{00000000-0006-0000-0200-00000B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261" authorId="0" shapeId="0" xr:uid="{00000000-0006-0000-0200-00000C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282" authorId="0" shapeId="0" xr:uid="{00000000-0006-0000-0200-00000D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E286" authorId="0" shapeId="0" xr:uid="{00000000-0006-0000-0200-00000E000000}">
      <text>
        <r>
          <rPr>
            <b/>
            <sz val="9"/>
            <color indexed="81"/>
            <rFont val="Tahoma"/>
            <family val="2"/>
          </rPr>
          <t>Petrillo-Groh, Laura:</t>
        </r>
        <r>
          <rPr>
            <sz val="9"/>
            <color indexed="81"/>
            <rFont val="Tahoma"/>
            <family val="2"/>
          </rPr>
          <t xml:space="preserve">
</t>
        </r>
        <r>
          <rPr>
            <sz val="12"/>
            <color indexed="81"/>
            <rFont val="Tahoma"/>
            <family val="2"/>
          </rPr>
          <t>22-inch wide units IMH-A-Small-C typically use the same cabinet as the IMH-A-Small-B. Similar to the IMH-A-Small-B equipment that cannot accommodate an in increase in chassis size, which is not possible in these size restricted units. This design option should be screened out for IMH-W-Small-C.</t>
        </r>
      </text>
    </comment>
    <comment ref="I286" authorId="0" shapeId="0" xr:uid="{00000000-0006-0000-0200-00000F000000}">
      <text>
        <r>
          <rPr>
            <b/>
            <sz val="9"/>
            <color indexed="81"/>
            <rFont val="Tahoma"/>
            <family val="2"/>
          </rPr>
          <t>Petrillo-Groh, Laura:</t>
        </r>
        <r>
          <rPr>
            <sz val="9"/>
            <color indexed="81"/>
            <rFont val="Tahoma"/>
            <family val="2"/>
          </rPr>
          <t xml:space="preserve">
</t>
        </r>
        <r>
          <rPr>
            <sz val="12"/>
            <color indexed="81"/>
            <rFont val="Tahoma"/>
            <family val="2"/>
          </rPr>
          <t>Cost is underestimated both in NODA and NOPR. If DOE insists on keeping this design option for IMH-A-Small-C, then cost of 17% increase in evaporator size should be 117% of the original evaporator's cost.</t>
        </r>
        <r>
          <rPr>
            <sz val="9"/>
            <color indexed="81"/>
            <rFont val="Tahoma"/>
            <family val="2"/>
          </rPr>
          <t xml:space="preserve">
</t>
        </r>
      </text>
    </comment>
    <comment ref="I303" authorId="0" shapeId="0" xr:uid="{00000000-0006-0000-0200-000010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325" authorId="0" shapeId="0" xr:uid="{00000000-0006-0000-0200-000011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345" authorId="0" shapeId="0" xr:uid="{00000000-0006-0000-0200-000012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368" authorId="0" shapeId="0" xr:uid="{00000000-0006-0000-0200-000013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E372" authorId="0" shapeId="0" xr:uid="{00000000-0006-0000-0200-000014000000}">
      <text>
        <r>
          <rPr>
            <b/>
            <sz val="12"/>
            <color indexed="81"/>
            <rFont val="Tahoma"/>
            <family val="2"/>
          </rPr>
          <t>Petrillo-Groh, Laura:</t>
        </r>
        <r>
          <rPr>
            <sz val="12"/>
            <color indexed="81"/>
            <rFont val="Tahoma"/>
            <family val="2"/>
          </rPr>
          <t xml:space="preserve">
Unrealistic design option for space-constrianed unit. Recommend screening out.</t>
        </r>
      </text>
    </comment>
    <comment ref="E373" authorId="0" shapeId="0" xr:uid="{00000000-0006-0000-0200-000015000000}">
      <text>
        <r>
          <rPr>
            <b/>
            <sz val="12"/>
            <color indexed="81"/>
            <rFont val="Tahoma"/>
            <family val="2"/>
          </rPr>
          <t>Petrillo-Groh, Laura:</t>
        </r>
        <r>
          <rPr>
            <sz val="12"/>
            <color indexed="81"/>
            <rFont val="Tahoma"/>
            <family val="2"/>
          </rPr>
          <t xml:space="preserve">
Unrealistic design option for space-constrianed unit. Recommend screening out.</t>
        </r>
      </text>
    </comment>
    <comment ref="I389" authorId="0" shapeId="0" xr:uid="{00000000-0006-0000-0200-000016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 ref="I411" authorId="0" shapeId="0" xr:uid="{00000000-0006-0000-0200-000017000000}">
      <text>
        <r>
          <rPr>
            <b/>
            <sz val="12"/>
            <color indexed="81"/>
            <rFont val="Tahoma"/>
            <family val="2"/>
          </rPr>
          <t>Petrillo-Groh, Laura:</t>
        </r>
        <r>
          <rPr>
            <sz val="12"/>
            <color indexed="81"/>
            <rFont val="Tahoma"/>
            <family val="2"/>
          </rPr>
          <t xml:space="preserve">
Applied Eq 5.2 from TSD with 2% increase in EER for 5% cost increase to be consistent with CRE Final Rule.</t>
        </r>
      </text>
    </comment>
  </commentList>
</comments>
</file>

<file path=xl/sharedStrings.xml><?xml version="1.0" encoding="utf-8"?>
<sst xmlns="http://schemas.openxmlformats.org/spreadsheetml/2006/main" count="1710" uniqueCount="223">
  <si>
    <t>Max Available</t>
  </si>
  <si>
    <t>Condenser Water (gal/100 lb)</t>
  </si>
  <si>
    <t>EL3</t>
  </si>
  <si>
    <t>EL4</t>
  </si>
  <si>
    <t>EL5</t>
  </si>
  <si>
    <t>EL6</t>
  </si>
  <si>
    <t>IMH-W-***-B</t>
  </si>
  <si>
    <t>IMH-A-***-C</t>
  </si>
  <si>
    <t>Small</t>
  </si>
  <si>
    <t>Medium</t>
  </si>
  <si>
    <t>Large</t>
  </si>
  <si>
    <t>IMH-A-***-B</t>
  </si>
  <si>
    <t>NA</t>
  </si>
  <si>
    <t>SCU-W-***-B</t>
  </si>
  <si>
    <t>SCU-A-***-B</t>
  </si>
  <si>
    <t>EL2</t>
  </si>
  <si>
    <t>SCU-A-***-C</t>
  </si>
  <si>
    <t>Energy Consumption kWh/100 lb</t>
  </si>
  <si>
    <t>Percent Energy Use Reduction</t>
  </si>
  <si>
    <t>Design Options Successively Added</t>
  </si>
  <si>
    <t>Baseline</t>
  </si>
  <si>
    <t>Baseline Energy Consumption kWh/100 lb</t>
  </si>
  <si>
    <t>Percent Energy Use Less Than Baseline</t>
  </si>
  <si>
    <t>Percent Energy Use Reduction (Old)</t>
  </si>
  <si>
    <t>Cumulative Cost</t>
  </si>
  <si>
    <t>Individual Cost</t>
  </si>
  <si>
    <t>Impact on Unit MPC</t>
  </si>
  <si>
    <t>MPC of Component Prior to Change</t>
  </si>
  <si>
    <t>Component Information</t>
  </si>
  <si>
    <t>Component</t>
  </si>
  <si>
    <t>Compressor</t>
  </si>
  <si>
    <t>Condenser</t>
  </si>
  <si>
    <t>Fan Motor</t>
  </si>
  <si>
    <t>Pump Motor</t>
  </si>
  <si>
    <t>MSP ($)</t>
  </si>
  <si>
    <t>SCU-W-Large-B</t>
  </si>
  <si>
    <t>SCU-A-Small-B</t>
  </si>
  <si>
    <t>SCU-A-Large-B</t>
  </si>
  <si>
    <t>IMH-A-Small-C</t>
  </si>
  <si>
    <t>IMH-A-Large-C</t>
  </si>
  <si>
    <t>SCU-A-Small-C</t>
  </si>
  <si>
    <t>IMH-W-Medium-B</t>
  </si>
  <si>
    <t>IMH-W-Large-B-2</t>
  </si>
  <si>
    <t>RCU-NRC-Large-B-1</t>
  </si>
  <si>
    <t>RCU-NRC-Large-B-2</t>
  </si>
  <si>
    <t>Large-2</t>
  </si>
  <si>
    <t>Increase Evaporator Area by 51% (with chassis growth)</t>
  </si>
  <si>
    <t>Switch to PSC Condenser Fan Motor</t>
  </si>
  <si>
    <t>Switch to ECM Condenser Fan Motor</t>
  </si>
  <si>
    <t>Switch to ECM Pump Motor</t>
  </si>
  <si>
    <t>Drain Water Heat Exchanger</t>
  </si>
  <si>
    <t>Evaporator</t>
  </si>
  <si>
    <t>MPC ($)</t>
  </si>
  <si>
    <t>Des. Option No.</t>
  </si>
  <si>
    <t>Baseline Energy Use from Std =</t>
  </si>
  <si>
    <t>Rep. Harvest Rate</t>
  </si>
  <si>
    <t>Eff. Lvl. No.</t>
  </si>
  <si>
    <t>Reduc. From Baseline</t>
  </si>
  <si>
    <t>Incremental MPC</t>
  </si>
  <si>
    <t>Numbers for alternate interpolation</t>
  </si>
  <si>
    <t>[ 10.26-0.0086*H ]</t>
  </si>
  <si>
    <t>EL1</t>
  </si>
  <si>
    <t>EL7</t>
  </si>
  <si>
    <t>[ 6.89-0.0011*H ]</t>
  </si>
  <si>
    <t>Change to Batch Water Fill</t>
  </si>
  <si>
    <t>Controls</t>
  </si>
  <si>
    <t>Increase Condenser Height by 3" (with chassis growth)</t>
  </si>
  <si>
    <t>Increase Condenser Width by 3.25"</t>
  </si>
  <si>
    <t>Large-1</t>
  </si>
  <si>
    <t>Increase Condenser Width by 6", Add One Additional Condenser Row</t>
  </si>
  <si>
    <t>Manufacturing Cost and Energy Consumption Data for Water-Cooled IMH Batch Ice Machines with Capacities less than 500 lb/24 hours</t>
  </si>
  <si>
    <t xml:space="preserve">MSP </t>
  </si>
  <si>
    <t>Manufacturing Cost and Energy Consumption Data for Water-Cooled IMH Batch Ice Machines with Capacities between 500 and 1436 lb/24 hours</t>
  </si>
  <si>
    <t>Manufacturing Cost and Energy Consumption Data for Air-Cooled IMH Batch Ice Machines with Capacities less than 450 lb/24 hours</t>
  </si>
  <si>
    <t>Manufacturing Cost and Energy Consumption Data for Air-Cooled IMH Batch Ice Machines with Capacities greater than 450 lb/24 hours (Smaller Sizes)</t>
  </si>
  <si>
    <t>Manufacturing Cost and Energy Consumption Data for Air-Cooled IMH Batch Ice Machines with Capacities greater than 450 lb/24 hours (Larger Sizes)</t>
  </si>
  <si>
    <t>[ 5.58-0.0011*H ]</t>
  </si>
  <si>
    <t>IMH-W-Large-B-1</t>
  </si>
  <si>
    <t>[ 4.0 ]</t>
  </si>
  <si>
    <t>Manufacturing Cost and Energy Consumption Data for Water-Cooled IMH Batch Ice Machines with Capacities greater than 1436 lb/24 hours (Larger Sizes)</t>
  </si>
  <si>
    <t>Switch to ECM Pump Motors (2)</t>
  </si>
  <si>
    <t>Manufacturing Cost and Energy Consumption Data for Air-Cooled RCU Batch Ice Machines with Capacities greater than 1000 lb/24 hours (Smaller Sizes)</t>
  </si>
  <si>
    <t>Increase Condenser Width by 5"  (with unit growth)</t>
  </si>
  <si>
    <t>Switch to ECM Fan Motor</t>
  </si>
  <si>
    <t>Increase Condenser Width by 6"  (with unit growth)</t>
  </si>
  <si>
    <t>Manufacturing Cost and Energy Consumption Data for Air-Cooled RCU Batch Ice Machines with Capacities greater than 1000 lb/24 hours (Larger Sizes)</t>
  </si>
  <si>
    <t>[ 5.1 ]</t>
  </si>
  <si>
    <t>Increase Condenser Width by 19", Add One Additional Condenser Row and One Extra Fan</t>
  </si>
  <si>
    <t>Switch to ECM Condenser Fan Motors (2)</t>
  </si>
  <si>
    <t>[ 18.0-0.0469*H ]</t>
  </si>
  <si>
    <t>Increase condenser width by 2.5”, Add One Additional Condenser Row</t>
  </si>
  <si>
    <t>Manufacturing Cost and Energy Consumption Data for Air-Cooled SCU Batch Ice Machines with Capacities less than 175 lb/24 hours</t>
  </si>
  <si>
    <t>[ 9.8 ]</t>
  </si>
  <si>
    <t>Manufacturing Cost and Energy Consumption Data for Air-Cooled SCU Batch Ice Machines with Capacities greater than 175 lb/24 hours</t>
  </si>
  <si>
    <t>[ 7.6 ]</t>
  </si>
  <si>
    <t>Manufacturing Cost and Energy Consumption Data for Water-Cooled SCU Batch Ice Machines with Capacities greater than 200 lb/24 hours (Smaller Sizes)</t>
  </si>
  <si>
    <t>MSP &amp;  Incr. MSP</t>
  </si>
  <si>
    <t>Potable Water - Cont. (gal/100 lb)</t>
  </si>
  <si>
    <t>Potable Water-batch (gal/100 lb)</t>
  </si>
  <si>
    <t>Potable Water (gal/100lb)</t>
  </si>
  <si>
    <t>Manufacturing Cost and Energy Consumption Data for Air-Cooled IMH Continuous Ice Machines with Capacities less than 700 lb/24 hours</t>
  </si>
  <si>
    <t>Manufacturing Cost and Energy Consumption Data for Air-Cooled IMH Continuous Ice Machines with Capacities greater than 700 lb/24 hours (Smaller Sizes)</t>
  </si>
  <si>
    <t>Manufacturing Cost and Energy Consumption Data for Air-Cooled SCU Continuous Ice Machines with Capacities less than 700 lb/24 hours</t>
  </si>
  <si>
    <t>[ 7.79-0.0055*H ]</t>
  </si>
  <si>
    <t>[ 11.0-0.00629*H ]</t>
  </si>
  <si>
    <t>[ 6.6 ]</t>
  </si>
  <si>
    <t>[ 11.5-0.00629*H ]</t>
  </si>
  <si>
    <t>Cost-Efficiency Curve Results: Incremental MPC Results for Batch Ice Makers</t>
  </si>
  <si>
    <t>Equipment Class</t>
  </si>
  <si>
    <t>Baseline MPC</t>
  </si>
  <si>
    <t>Baseline MSP</t>
  </si>
  <si>
    <t>Potable Water (gal/100 lb)</t>
  </si>
  <si>
    <t>Representative Harvest Capacity lb/24 hours</t>
  </si>
  <si>
    <t>EL2**</t>
  </si>
  <si>
    <t>Max Tech</t>
  </si>
  <si>
    <t>Level</t>
  </si>
  <si>
    <t>Cost</t>
  </si>
  <si>
    <t>Not Analyzed</t>
  </si>
  <si>
    <t>RCU-***-***-B</t>
  </si>
  <si>
    <t>Cost-Efficiency Curve Results: Incremental MPC Results for Continuous Ice Makers</t>
  </si>
  <si>
    <t>IMH-W-***-C</t>
  </si>
  <si>
    <t>RCU-***-***-C</t>
  </si>
  <si>
    <t>SCU-W-***-C</t>
  </si>
  <si>
    <t>Increase Condenser Width by 1.3"</t>
  </si>
  <si>
    <t>Increase Compressor EER from 4.86 to 5.20</t>
  </si>
  <si>
    <t>Increase Compressor EER from 5.66 to 6.7</t>
  </si>
  <si>
    <t xml:space="preserve"> $-   </t>
  </si>
  <si>
    <t>Increase Compressor EER from 7 to 7.16</t>
  </si>
  <si>
    <t>Increase Compressor EER from 5.94 to 7.16</t>
  </si>
  <si>
    <t>Increase compressor EER from 5.68 to 6.32</t>
  </si>
  <si>
    <t>Increase Condenser Width by 18" (with unit growth)</t>
  </si>
  <si>
    <t>Increase Condenser Height by 3" (with condenser growth)</t>
  </si>
  <si>
    <t>Max-Tech</t>
  </si>
  <si>
    <t>Increase compressor EER from 6.05 to 6.32</t>
  </si>
  <si>
    <t>Increase compressor EER from 3.3 to 4.6 (includes smaller compressor)</t>
  </si>
  <si>
    <t>RCU-NRC-Small-C</t>
  </si>
  <si>
    <t>Increase compressor EER from 4.59 to 5.2</t>
  </si>
  <si>
    <t>Increase Compressor EER from 5.63 to 6.2</t>
  </si>
  <si>
    <t>Increase Condenser Length by 125%</t>
  </si>
  <si>
    <t>Increase compressor EER from 4.23 to 5.2</t>
  </si>
  <si>
    <t>Increase condenser width by 9"</t>
  </si>
  <si>
    <t>Increase compressor EER from 4.86 to 5.2</t>
  </si>
  <si>
    <t>Increase Condenser Length by 112%</t>
  </si>
  <si>
    <t>Increase Compressor EER from 5.66 to 6.0</t>
  </si>
  <si>
    <t>Increase Condenser Length by 59%</t>
  </si>
  <si>
    <t>Increase Evaporator Area by 4.7% (with chassis growth)</t>
  </si>
  <si>
    <t>Increased compressor EER from 4.68 to 5.4</t>
  </si>
  <si>
    <t>Increased condenser width by 3.5"</t>
  </si>
  <si>
    <t>Switched to PSC Fan Motor</t>
  </si>
  <si>
    <t>Switched to ECM Fan Motor</t>
  </si>
  <si>
    <t>Switched to ECM Auger Motor</t>
  </si>
  <si>
    <t>Auger Motor</t>
  </si>
  <si>
    <t>Increase Compressor EER from 5.02 to 6.0</t>
  </si>
  <si>
    <t>Increase Condenser Width by 1.5", Increase Tube Rows by 1</t>
  </si>
  <si>
    <t>Increased condenser rows to 4 from 3, larger motor</t>
  </si>
  <si>
    <t>Changed compressor EER from 4.7 to 5.5</t>
  </si>
  <si>
    <t>Increase Compressor EER from 4.75 to 5.4</t>
  </si>
  <si>
    <t>Increase Condenser Width by 23.25 inches</t>
  </si>
  <si>
    <t>[ 10-0.00459*H ]</t>
  </si>
  <si>
    <t>Increase Condenser Width by 2"</t>
  </si>
  <si>
    <t>Increase Evaporator Area by 18.0% (no chassis growth)</t>
  </si>
  <si>
    <t>Increase Condenser Length by 48%</t>
  </si>
  <si>
    <t>Increase Condenser Size</t>
  </si>
  <si>
    <t>$2012 to $2013 PPI Adjustment:</t>
  </si>
  <si>
    <t>Link</t>
  </si>
  <si>
    <t>Small (22-inch)</t>
  </si>
  <si>
    <t>Large (22-inch)</t>
  </si>
  <si>
    <t>Small (30-inch)</t>
  </si>
  <si>
    <t>Large (30-inch and 48-inch)</t>
  </si>
  <si>
    <t>Automatic Commercial Ice Maker ECS NOPR</t>
  </si>
  <si>
    <t>Engineering Analysis Summary</t>
  </si>
  <si>
    <t>Table of Costs by EL Level</t>
  </si>
  <si>
    <t>Automatic Commercial Ice Maker ECS NODA</t>
  </si>
  <si>
    <t>N/A</t>
  </si>
  <si>
    <t>22-inch Max Tech Pt on 30-inch curve</t>
  </si>
  <si>
    <t>Standard Equation:</t>
  </si>
  <si>
    <t>Able to Interpolate?</t>
  </si>
  <si>
    <t>Yes</t>
  </si>
  <si>
    <t>No</t>
  </si>
  <si>
    <t>Transcription of Cost Efficiency Curves To EL Levels</t>
  </si>
  <si>
    <t>MSP Markup:</t>
  </si>
  <si>
    <t>Use Potable Water Design Option at Which EL?</t>
  </si>
  <si>
    <t>Original Water Level</t>
  </si>
  <si>
    <t>New Water Level</t>
  </si>
  <si>
    <t>Interpolation</t>
  </si>
  <si>
    <t>Direct Interpolation</t>
  </si>
  <si>
    <t>Indirect Interpolation</t>
  </si>
  <si>
    <t>22-inch Max-Tech</t>
  </si>
  <si>
    <t>Transcription for Summary Table</t>
  </si>
  <si>
    <t>Table of EL Levels</t>
  </si>
  <si>
    <t>Cost-Efficiency Curve Table</t>
  </si>
  <si>
    <t>IMH-A-Small-B (30-inch)</t>
  </si>
  <si>
    <t>IMH-A-Large-B-1 (30-inch)</t>
  </si>
  <si>
    <t>IMH-A-Large-B-2 (48-inch)</t>
  </si>
  <si>
    <t>Manufacturing Cost and Energy Consumption Data for Water-Cooled IMH Batch Ice Machines with Capacities greater than 1436 lb/24 hours (Smaller Sizes)</t>
  </si>
  <si>
    <t>IMH-W-Small-B (30-inch)</t>
  </si>
  <si>
    <t>IMH-A-Large-B (22-inch)</t>
  </si>
  <si>
    <t>IMH-W-Small-B (22-inch)</t>
  </si>
  <si>
    <t>IMH-A-Small-B (22-inch)</t>
  </si>
  <si>
    <t>Updates to the Engineering Analysis</t>
  </si>
  <si>
    <t>Based on the data available at the time of the NODA, the engineering team made the following changes to the max-available levels for the cost-efficiency curves:</t>
  </si>
  <si>
    <t>- IMH-A-Small-B max-available level dropped to 19.3% from 23.6%</t>
  </si>
  <si>
    <t>- IMH-A-Large-B (Med) max-available level dropped to 16.1% from 20.7%</t>
  </si>
  <si>
    <t>- IMH-A-Large-B (Large) max-available level dropped to 6.0% from 16.7%</t>
  </si>
  <si>
    <t>- IMH-W-Small-B max-available level dropped to 19.2% from 22.0%</t>
  </si>
  <si>
    <t>- IMH-W-Med-B max-available dropped to 14.3% from 15.7%</t>
  </si>
  <si>
    <t>- IMH-W-Large-B (Large) max-available level dropped to 2.5% from 8.3%</t>
  </si>
  <si>
    <t>Additional details and documents on the Automatic Commercial Ice Maker rule making can be found here: http://www1.eere.energy.gov/buildings/appliance_standards/rulemaking.aspx/ruleid/29.</t>
  </si>
  <si>
    <t>- Updated the cost of evaporator size increases</t>
  </si>
  <si>
    <t>- Updated the efficiency impact of higher EER compressors</t>
  </si>
  <si>
    <t>- Updated the efficiency impact of using PSC and ECM fan motors</t>
  </si>
  <si>
    <t>- Updated the efficiency impact of using PSC and ECM pump motors</t>
  </si>
  <si>
    <t>- Updated the cost of using higher EER compressors</t>
  </si>
  <si>
    <t>The team adjusted the analysis based on data for new products available on the market and on new ratings of existing equipment.  The engineering team also considered more narrow ranges of harvest capacity and equipment characteristics when selecting max-available equipment to compare with analysis conducted for any given representative unit.</t>
  </si>
  <si>
    <t>For the NODA engineering analyses described here and in the accompanying notice, DOE has developed new cost-efficiency curves.  These curves are based on a variety of new inputs made between the publication of the NOPR analysis and the publication of this NODA, both through public comments and in discussions under NDA with DOE's contractor.</t>
  </si>
  <si>
    <t>DOE has made  the following changes to the engineering analysis since the NOPR:</t>
  </si>
  <si>
    <t>- Changed the order of application of design options to the baseline unit and adjusted certain design options to improve consistency with the design options observed in commercially available ice makers.</t>
  </si>
  <si>
    <t>Based on comments made during the NOPR comment period, DOE developed the following added cost-efficiency curves:</t>
  </si>
  <si>
    <t>- IMH-A-Small-B 22-inch width</t>
  </si>
  <si>
    <t>- IMH-A-Large-B 22-inch width</t>
  </si>
  <si>
    <t>- IMH-W-Small-B 22-inch width</t>
  </si>
  <si>
    <t>- RCU-NRC-Small-C</t>
  </si>
  <si>
    <t xml:space="preserve">  Increase evaporator area by 17% and increase condenser height by 4" (with chassis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</si>
</sst>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quot;$&quot;#,##0"/>
    <numFmt numFmtId="165" formatCode="0.0%"/>
    <numFmt numFmtId="166" formatCode="0.0"/>
    <numFmt numFmtId="167" formatCode="_(&quot;$&quot;* #,##0_);_(&quot;$&quot;* \(#,##0\);_(&quot;$&quot;* &quot;-&quot;??_);_(@_)"/>
    <numFmt numFmtId="168" formatCode="&quot;$&quot;#,##0.00"/>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Arial"/>
      <family val="2"/>
    </font>
    <font>
      <sz val="11"/>
      <color rgb="FF000000"/>
      <name val="Arial"/>
      <family val="2"/>
    </font>
    <font>
      <b/>
      <sz val="12"/>
      <color theme="1"/>
      <name val="Times New Roman"/>
      <family val="1"/>
    </font>
    <font>
      <b/>
      <sz val="10"/>
      <color rgb="FF000000"/>
      <name val="Times New Roman"/>
      <family val="1"/>
    </font>
    <font>
      <sz val="10"/>
      <color theme="1"/>
      <name val="Times New Roman"/>
      <family val="1"/>
    </font>
    <font>
      <sz val="10"/>
      <color rgb="FF000000"/>
      <name val="Times New Roman"/>
      <family val="1"/>
    </font>
    <font>
      <sz val="9"/>
      <color theme="1"/>
      <name val="Times New Roman"/>
      <family val="1"/>
    </font>
    <font>
      <sz val="9"/>
      <name val="Times New Roman"/>
      <family val="1"/>
    </font>
    <font>
      <b/>
      <sz val="10"/>
      <color theme="1"/>
      <name val="Times New Roman"/>
      <family val="1"/>
    </font>
    <font>
      <sz val="11"/>
      <color rgb="FF000000"/>
      <name val="Calibri"/>
      <family val="2"/>
      <scheme val="minor"/>
    </font>
    <font>
      <b/>
      <u/>
      <sz val="11"/>
      <color theme="1"/>
      <name val="Calibri"/>
      <family val="2"/>
      <scheme val="minor"/>
    </font>
    <font>
      <b/>
      <sz val="14"/>
      <color rgb="FF000000"/>
      <name val="Times New Roman"/>
      <family val="1"/>
    </font>
    <font>
      <sz val="18"/>
      <name val="Arial"/>
      <family val="2"/>
    </font>
    <font>
      <sz val="11"/>
      <name val="Arial"/>
      <family val="2"/>
    </font>
    <font>
      <sz val="11"/>
      <color theme="1"/>
      <name val="Arial"/>
      <family val="2"/>
    </font>
    <font>
      <b/>
      <sz val="14"/>
      <color rgb="FFFF0000"/>
      <name val="Calibri"/>
      <family val="2"/>
      <scheme val="minor"/>
    </font>
    <font>
      <b/>
      <sz val="11"/>
      <color rgb="FF00B050"/>
      <name val="Calibri"/>
      <family val="2"/>
      <scheme val="minor"/>
    </font>
    <font>
      <u/>
      <sz val="11"/>
      <color theme="10"/>
      <name val="Calibri"/>
      <family val="2"/>
      <scheme val="minor"/>
    </font>
    <font>
      <b/>
      <sz val="16"/>
      <color theme="1"/>
      <name val="Calibri"/>
      <family val="2"/>
      <scheme val="minor"/>
    </font>
    <font>
      <i/>
      <sz val="14"/>
      <color theme="1"/>
      <name val="Calibri"/>
      <family val="2"/>
      <scheme val="minor"/>
    </font>
    <font>
      <sz val="14"/>
      <color theme="1"/>
      <name val="Calibri"/>
      <family val="2"/>
      <scheme val="minor"/>
    </font>
    <font>
      <b/>
      <i/>
      <sz val="14"/>
      <color rgb="FFFF0000"/>
      <name val="Calibri"/>
      <family val="2"/>
      <scheme val="minor"/>
    </font>
    <font>
      <b/>
      <sz val="14"/>
      <color theme="1"/>
      <name val="Times New Roman"/>
      <family val="1"/>
    </font>
    <font>
      <b/>
      <sz val="14"/>
      <color theme="1"/>
      <name val="Calibri"/>
      <family val="2"/>
      <scheme val="minor"/>
    </font>
    <font>
      <sz val="11"/>
      <color rgb="FFFF0000"/>
      <name val="Calibri"/>
      <family val="2"/>
      <scheme val="minor"/>
    </font>
    <font>
      <sz val="11"/>
      <color theme="0"/>
      <name val="Calibri"/>
      <family val="2"/>
      <scheme val="minor"/>
    </font>
    <font>
      <sz val="9"/>
      <color indexed="81"/>
      <name val="Tahoma"/>
      <family val="2"/>
    </font>
    <font>
      <b/>
      <sz val="9"/>
      <color indexed="81"/>
      <name val="Tahoma"/>
      <family val="2"/>
    </font>
    <font>
      <sz val="11"/>
      <color rgb="FFFF0000"/>
      <name val="Arial"/>
      <family val="2"/>
    </font>
    <font>
      <sz val="12"/>
      <color indexed="81"/>
      <name val="Tahoma"/>
      <family val="2"/>
    </font>
    <font>
      <b/>
      <sz val="12"/>
      <color indexed="81"/>
      <name val="Tahoma"/>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
      <patternFill patternType="solid">
        <fgColor theme="7" tint="0.39997558519241921"/>
        <bgColor indexed="64"/>
      </patternFill>
    </fill>
    <fill>
      <patternFill patternType="solid">
        <fgColor rgb="FFFFFF00"/>
        <bgColor indexed="64"/>
      </patternFill>
    </fill>
  </fills>
  <borders count="34">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top style="medium">
        <color rgb="FF000000"/>
      </top>
      <bottom style="medium">
        <color rgb="FF000000"/>
      </bottom>
      <diagonal/>
    </border>
    <border>
      <left style="medium">
        <color rgb="FF000000"/>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319">
    <xf numFmtId="0" fontId="0" fillId="0" borderId="0" xfId="0"/>
    <xf numFmtId="44" fontId="0" fillId="0" borderId="8" xfId="1" applyFont="1" applyFill="1" applyBorder="1"/>
    <xf numFmtId="167" fontId="0" fillId="0" borderId="8" xfId="0" applyNumberFormat="1" applyBorder="1"/>
    <xf numFmtId="44" fontId="0" fillId="0" borderId="0" xfId="0" applyNumberFormat="1"/>
    <xf numFmtId="44" fontId="0" fillId="0" borderId="8" xfId="0" applyNumberFormat="1" applyBorder="1"/>
    <xf numFmtId="0" fontId="9" fillId="0" borderId="0" xfId="0" applyFont="1"/>
    <xf numFmtId="0" fontId="0" fillId="0" borderId="8" xfId="0" applyBorder="1"/>
    <xf numFmtId="0" fontId="0" fillId="0" borderId="0" xfId="0" applyAlignment="1">
      <alignment horizontal="center" vertical="center"/>
    </xf>
    <xf numFmtId="44" fontId="0" fillId="0" borderId="0" xfId="1" applyFont="1" applyFill="1" applyBorder="1"/>
    <xf numFmtId="2" fontId="0" fillId="0" borderId="0" xfId="0" applyNumberFormat="1" applyAlignment="1">
      <alignment horizontal="center"/>
    </xf>
    <xf numFmtId="165" fontId="0" fillId="0" borderId="0" xfId="2" applyNumberFormat="1" applyFont="1" applyFill="1" applyBorder="1" applyAlignment="1">
      <alignment horizontal="center"/>
    </xf>
    <xf numFmtId="0" fontId="9" fillId="0" borderId="0" xfId="0" applyFont="1" applyAlignment="1">
      <alignment vertical="center"/>
    </xf>
    <xf numFmtId="168" fontId="0" fillId="0" borderId="8" xfId="0" applyNumberFormat="1" applyBorder="1"/>
    <xf numFmtId="8" fontId="4" fillId="0" borderId="8" xfId="0" applyNumberFormat="1" applyFont="1" applyBorder="1" applyAlignment="1">
      <alignment horizontal="center" vertical="center" wrapText="1" readingOrder="1"/>
    </xf>
    <xf numFmtId="44" fontId="4" fillId="0" borderId="8" xfId="0" applyNumberFormat="1" applyFont="1" applyBorder="1" applyAlignment="1">
      <alignment horizontal="center" vertical="center" wrapText="1" readingOrder="1"/>
    </xf>
    <xf numFmtId="8" fontId="0" fillId="0" borderId="8" xfId="0" applyNumberFormat="1" applyBorder="1" applyAlignment="1">
      <alignment horizontal="center" readingOrder="1"/>
    </xf>
    <xf numFmtId="167" fontId="0" fillId="0" borderId="8" xfId="0" applyNumberFormat="1" applyBorder="1" applyAlignment="1">
      <alignment horizontal="center" readingOrder="1"/>
    </xf>
    <xf numFmtId="167" fontId="0" fillId="0" borderId="0" xfId="0" applyNumberFormat="1"/>
    <xf numFmtId="167" fontId="0" fillId="0" borderId="0" xfId="0" applyNumberFormat="1" applyAlignment="1">
      <alignment horizontal="center" readingOrder="1"/>
    </xf>
    <xf numFmtId="2" fontId="4" fillId="0" borderId="8" xfId="0" applyNumberFormat="1" applyFont="1" applyBorder="1" applyAlignment="1">
      <alignment horizontal="center" vertical="center" wrapText="1" readingOrder="1"/>
    </xf>
    <xf numFmtId="166" fontId="0" fillId="0" borderId="0" xfId="0" applyNumberFormat="1" applyAlignment="1">
      <alignment horizontal="center"/>
    </xf>
    <xf numFmtId="0" fontId="10" fillId="0" borderId="0" xfId="0" applyFont="1"/>
    <xf numFmtId="8" fontId="0" fillId="0" borderId="8" xfId="0" applyNumberFormat="1" applyBorder="1"/>
    <xf numFmtId="8" fontId="0" fillId="0" borderId="0" xfId="0" applyNumberFormat="1"/>
    <xf numFmtId="168" fontId="0" fillId="0" borderId="0" xfId="0" applyNumberFormat="1"/>
    <xf numFmtId="9" fontId="0" fillId="0" borderId="0" xfId="0" applyNumberFormat="1"/>
    <xf numFmtId="9" fontId="0" fillId="0" borderId="0" xfId="0" applyNumberFormat="1" applyAlignment="1">
      <alignment horizontal="center"/>
    </xf>
    <xf numFmtId="8" fontId="0" fillId="0" borderId="0" xfId="0" applyNumberFormat="1" applyAlignment="1">
      <alignment horizontal="center"/>
    </xf>
    <xf numFmtId="168" fontId="0" fillId="0" borderId="0" xfId="0" applyNumberFormat="1" applyAlignment="1">
      <alignment horizontal="center"/>
    </xf>
    <xf numFmtId="0" fontId="0" fillId="0" borderId="0" xfId="0" applyAlignment="1">
      <alignment horizontal="center"/>
    </xf>
    <xf numFmtId="0" fontId="19" fillId="0" borderId="0" xfId="0" applyFont="1"/>
    <xf numFmtId="44" fontId="0" fillId="0" borderId="8" xfId="0" applyNumberFormat="1" applyBorder="1" applyAlignment="1">
      <alignment vertical="center"/>
    </xf>
    <xf numFmtId="9" fontId="4" fillId="0" borderId="2" xfId="2" applyFont="1" applyFill="1" applyBorder="1" applyAlignment="1">
      <alignment horizontal="center" vertical="center" wrapText="1" readingOrder="1"/>
    </xf>
    <xf numFmtId="166" fontId="4" fillId="0" borderId="2" xfId="2" applyNumberFormat="1" applyFont="1" applyFill="1" applyBorder="1" applyAlignment="1">
      <alignment horizontal="center" vertical="center" wrapText="1" readingOrder="1"/>
    </xf>
    <xf numFmtId="1" fontId="4" fillId="0" borderId="2" xfId="2" applyNumberFormat="1" applyFont="1" applyFill="1" applyBorder="1" applyAlignment="1">
      <alignment horizontal="center" vertical="center" wrapText="1" readingOrder="1"/>
    </xf>
    <xf numFmtId="0" fontId="20" fillId="0" borderId="0" xfId="3"/>
    <xf numFmtId="2" fontId="0" fillId="0" borderId="8" xfId="0" applyNumberFormat="1" applyBorder="1" applyAlignment="1">
      <alignment horizontal="center" readingOrder="1"/>
    </xf>
    <xf numFmtId="0" fontId="0" fillId="3" borderId="0" xfId="0" applyFill="1"/>
    <xf numFmtId="0" fontId="3" fillId="0" borderId="0" xfId="0" applyFont="1" applyAlignment="1">
      <alignment vertical="center" readingOrder="1"/>
    </xf>
    <xf numFmtId="0" fontId="3" fillId="0" borderId="2" xfId="0" applyFont="1" applyBorder="1" applyAlignment="1">
      <alignment horizontal="center" vertical="center" wrapText="1" readingOrder="1"/>
    </xf>
    <xf numFmtId="9" fontId="3" fillId="0" borderId="2" xfId="0" applyNumberFormat="1" applyFont="1" applyBorder="1" applyAlignment="1">
      <alignment horizontal="center" vertical="center" wrapText="1" readingOrder="1"/>
    </xf>
    <xf numFmtId="0" fontId="15" fillId="0" borderId="2" xfId="0" applyFont="1" applyBorder="1" applyAlignment="1">
      <alignment horizontal="center" vertical="top" wrapText="1"/>
    </xf>
    <xf numFmtId="164" fontId="4" fillId="0" borderId="2" xfId="2" applyNumberFormat="1" applyFont="1" applyFill="1" applyBorder="1" applyAlignment="1">
      <alignment horizontal="center" vertical="center" wrapText="1" readingOrder="1"/>
    </xf>
    <xf numFmtId="0" fontId="4" fillId="0" borderId="2" xfId="0" applyFont="1" applyBorder="1" applyAlignment="1">
      <alignment horizontal="left" vertical="center" wrapText="1" readingOrder="1"/>
    </xf>
    <xf numFmtId="6" fontId="4" fillId="0" borderId="2" xfId="0" applyNumberFormat="1" applyFont="1" applyBorder="1" applyAlignment="1">
      <alignment horizontal="center" vertical="center" wrapText="1" readingOrder="1"/>
    </xf>
    <xf numFmtId="9" fontId="4" fillId="0" borderId="1" xfId="2" applyFont="1" applyFill="1" applyBorder="1" applyAlignment="1">
      <alignment horizontal="center" vertical="center" wrapText="1" readingOrder="1"/>
    </xf>
    <xf numFmtId="1" fontId="4" fillId="0" borderId="1" xfId="2" applyNumberFormat="1" applyFont="1" applyFill="1" applyBorder="1" applyAlignment="1">
      <alignment horizontal="center" vertical="center" wrapText="1" readingOrder="1"/>
    </xf>
    <xf numFmtId="166" fontId="4" fillId="0" borderId="1" xfId="2" applyNumberFormat="1" applyFont="1" applyFill="1" applyBorder="1" applyAlignment="1">
      <alignment horizontal="center" vertical="center" wrapText="1" readingOrder="1"/>
    </xf>
    <xf numFmtId="0" fontId="15" fillId="0" borderId="2" xfId="0" applyFont="1" applyBorder="1" applyAlignment="1">
      <alignment vertical="center" wrapText="1"/>
    </xf>
    <xf numFmtId="9" fontId="16" fillId="0" borderId="2" xfId="2" applyFont="1" applyFill="1" applyBorder="1" applyAlignment="1">
      <alignment horizontal="center" vertical="center" wrapText="1"/>
    </xf>
    <xf numFmtId="1" fontId="16" fillId="0" borderId="2" xfId="2" applyNumberFormat="1" applyFont="1" applyFill="1" applyBorder="1" applyAlignment="1">
      <alignment horizontal="center" vertical="center" wrapText="1"/>
    </xf>
    <xf numFmtId="166" fontId="16" fillId="0" borderId="2" xfId="2" applyNumberFormat="1" applyFont="1" applyFill="1" applyBorder="1" applyAlignment="1">
      <alignment horizontal="center" vertical="center" wrapText="1"/>
    </xf>
    <xf numFmtId="164" fontId="16" fillId="0" borderId="2" xfId="0" applyNumberFormat="1" applyFont="1" applyBorder="1" applyAlignment="1">
      <alignment horizontal="center" vertical="center" wrapText="1"/>
    </xf>
    <xf numFmtId="164" fontId="16" fillId="0" borderId="2" xfId="2" applyNumberFormat="1" applyFont="1" applyFill="1" applyBorder="1" applyAlignment="1">
      <alignment horizontal="center" vertical="center" wrapText="1"/>
    </xf>
    <xf numFmtId="9" fontId="4" fillId="0" borderId="2" xfId="0" applyNumberFormat="1" applyFont="1" applyBorder="1" applyAlignment="1">
      <alignment horizontal="center" vertical="center" wrapText="1" readingOrder="1"/>
    </xf>
    <xf numFmtId="1" fontId="4" fillId="0" borderId="2" xfId="0" applyNumberFormat="1" applyFont="1" applyBorder="1" applyAlignment="1">
      <alignment horizontal="center" vertical="center" wrapText="1" readingOrder="1"/>
    </xf>
    <xf numFmtId="166" fontId="4" fillId="0" borderId="2" xfId="0" applyNumberFormat="1" applyFont="1" applyBorder="1" applyAlignment="1">
      <alignment horizontal="center" vertical="center" wrapText="1" readingOrder="1"/>
    </xf>
    <xf numFmtId="164" fontId="17" fillId="0" borderId="0" xfId="0" applyNumberFormat="1" applyFont="1" applyAlignment="1">
      <alignment horizontal="center"/>
    </xf>
    <xf numFmtId="0" fontId="4" fillId="0" borderId="19" xfId="0" applyFont="1" applyBorder="1" applyAlignment="1">
      <alignment horizontal="left" vertical="center" wrapText="1" readingOrder="1"/>
    </xf>
    <xf numFmtId="9" fontId="17" fillId="0" borderId="2" xfId="2" applyFont="1" applyFill="1" applyBorder="1" applyAlignment="1">
      <alignment horizontal="center"/>
    </xf>
    <xf numFmtId="1" fontId="17" fillId="0" borderId="2" xfId="2" applyNumberFormat="1" applyFont="1" applyFill="1" applyBorder="1" applyAlignment="1">
      <alignment horizontal="center"/>
    </xf>
    <xf numFmtId="166" fontId="17" fillId="0" borderId="2" xfId="2" applyNumberFormat="1" applyFont="1" applyFill="1" applyBorder="1" applyAlignment="1">
      <alignment horizontal="center"/>
    </xf>
    <xf numFmtId="6" fontId="17" fillId="0" borderId="2" xfId="0" applyNumberFormat="1" applyFont="1" applyBorder="1" applyAlignment="1">
      <alignment horizontal="center"/>
    </xf>
    <xf numFmtId="164" fontId="17" fillId="0" borderId="2" xfId="2" applyNumberFormat="1" applyFont="1" applyFill="1" applyBorder="1" applyAlignment="1">
      <alignment horizontal="center"/>
    </xf>
    <xf numFmtId="0" fontId="4" fillId="0" borderId="24" xfId="0" applyFont="1" applyBorder="1" applyAlignment="1">
      <alignment horizontal="left" vertical="center" wrapText="1" readingOrder="1"/>
    </xf>
    <xf numFmtId="0" fontId="4" fillId="0" borderId="2" xfId="0" applyFont="1" applyBorder="1" applyAlignment="1">
      <alignment horizontal="center" vertical="center" wrapText="1" readingOrder="1"/>
    </xf>
    <xf numFmtId="6" fontId="4" fillId="0" borderId="1" xfId="0" applyNumberFormat="1" applyFont="1" applyBorder="1" applyAlignment="1">
      <alignment vertical="center" readingOrder="1"/>
    </xf>
    <xf numFmtId="0" fontId="4" fillId="0" borderId="2" xfId="2" applyNumberFormat="1" applyFont="1" applyFill="1" applyBorder="1" applyAlignment="1">
      <alignment horizontal="center" vertical="center" wrapText="1" readingOrder="1"/>
    </xf>
    <xf numFmtId="6" fontId="4" fillId="0" borderId="1" xfId="0" applyNumberFormat="1" applyFont="1" applyBorder="1" applyAlignment="1">
      <alignment vertical="center" wrapText="1" readingOrder="1"/>
    </xf>
    <xf numFmtId="9" fontId="4" fillId="0" borderId="1" xfId="0" applyNumberFormat="1" applyFont="1" applyBorder="1" applyAlignment="1">
      <alignment vertical="center" wrapText="1" readingOrder="1"/>
    </xf>
    <xf numFmtId="3" fontId="4" fillId="0" borderId="2" xfId="0" applyNumberFormat="1" applyFont="1" applyBorder="1" applyAlignment="1">
      <alignment horizontal="center" vertical="center" wrapText="1" readingOrder="1"/>
    </xf>
    <xf numFmtId="164" fontId="17" fillId="0" borderId="2" xfId="0" applyNumberFormat="1" applyFont="1" applyBorder="1" applyAlignment="1">
      <alignment horizontal="center"/>
    </xf>
    <xf numFmtId="3" fontId="17" fillId="0" borderId="2" xfId="0" applyNumberFormat="1" applyFont="1" applyBorder="1" applyAlignment="1">
      <alignment horizontal="center"/>
    </xf>
    <xf numFmtId="0" fontId="15" fillId="0" borderId="23" xfId="0" applyFont="1" applyBorder="1" applyAlignment="1">
      <alignment horizontal="center" vertical="top" wrapText="1"/>
    </xf>
    <xf numFmtId="165" fontId="4" fillId="0" borderId="1" xfId="0" applyNumberFormat="1" applyFont="1" applyBorder="1" applyAlignment="1">
      <alignment horizontal="center" vertical="center" wrapText="1" readingOrder="1"/>
    </xf>
    <xf numFmtId="1" fontId="4" fillId="0" borderId="1" xfId="0" applyNumberFormat="1" applyFont="1" applyBorder="1" applyAlignment="1">
      <alignment horizontal="center" vertical="center" wrapText="1" readingOrder="1"/>
    </xf>
    <xf numFmtId="166" fontId="4" fillId="0" borderId="1" xfId="0" applyNumberFormat="1" applyFont="1" applyBorder="1" applyAlignment="1">
      <alignment horizontal="center" vertical="center" wrapText="1" readingOrder="1"/>
    </xf>
    <xf numFmtId="164" fontId="4" fillId="0" borderId="1" xfId="0" applyNumberFormat="1" applyFont="1" applyBorder="1" applyAlignment="1">
      <alignment horizontal="center" vertical="center" wrapText="1" readingOrder="1"/>
    </xf>
    <xf numFmtId="6" fontId="16" fillId="0" borderId="2" xfId="0" applyNumberFormat="1" applyFont="1" applyBorder="1" applyAlignment="1">
      <alignment horizontal="center" vertical="center" wrapText="1"/>
    </xf>
    <xf numFmtId="0" fontId="0" fillId="0" borderId="19" xfId="0" applyBorder="1"/>
    <xf numFmtId="0" fontId="16" fillId="0" borderId="2" xfId="0" applyFont="1" applyBorder="1" applyAlignment="1">
      <alignment horizontal="center" vertical="center" wrapText="1"/>
    </xf>
    <xf numFmtId="6" fontId="4" fillId="0" borderId="20" xfId="0" applyNumberFormat="1" applyFont="1" applyBorder="1" applyAlignment="1">
      <alignment horizontal="center" vertical="center" wrapText="1" readingOrder="1"/>
    </xf>
    <xf numFmtId="0" fontId="21" fillId="2" borderId="0" xfId="0" applyFont="1" applyFill="1"/>
    <xf numFmtId="0" fontId="22" fillId="2" borderId="0" xfId="0" applyFont="1" applyFill="1"/>
    <xf numFmtId="0" fontId="23" fillId="2" borderId="0" xfId="0" applyFont="1" applyFill="1"/>
    <xf numFmtId="9" fontId="4" fillId="0" borderId="1" xfId="0" applyNumberFormat="1" applyFont="1" applyBorder="1" applyAlignment="1">
      <alignment horizontal="center" vertical="center" wrapText="1" readingOrder="1"/>
    </xf>
    <xf numFmtId="164" fontId="17" fillId="0" borderId="6" xfId="0" applyNumberFormat="1" applyFont="1" applyBorder="1" applyAlignment="1">
      <alignment horizontal="center" vertical="center"/>
    </xf>
    <xf numFmtId="2" fontId="4" fillId="0" borderId="1" xfId="2" applyNumberFormat="1" applyFont="1" applyFill="1" applyBorder="1" applyAlignment="1">
      <alignment horizontal="center" vertical="center" wrapText="1" readingOrder="1"/>
    </xf>
    <xf numFmtId="165" fontId="0" fillId="0" borderId="1" xfId="2" applyNumberFormat="1" applyFont="1" applyFill="1" applyBorder="1" applyAlignment="1">
      <alignment horizontal="center"/>
    </xf>
    <xf numFmtId="9" fontId="0" fillId="0" borderId="1" xfId="2" applyFont="1" applyFill="1" applyBorder="1" applyAlignment="1">
      <alignment horizontal="center"/>
    </xf>
    <xf numFmtId="6" fontId="17" fillId="0" borderId="20" xfId="0" applyNumberFormat="1" applyFont="1" applyBorder="1" applyAlignment="1">
      <alignment horizontal="center"/>
    </xf>
    <xf numFmtId="164" fontId="17" fillId="0" borderId="6" xfId="0" applyNumberFormat="1" applyFont="1" applyBorder="1" applyAlignment="1">
      <alignment horizontal="center"/>
    </xf>
    <xf numFmtId="1" fontId="16" fillId="0" borderId="1" xfId="2" applyNumberFormat="1" applyFont="1" applyFill="1" applyBorder="1" applyAlignment="1">
      <alignment horizontal="center" vertical="center" wrapText="1"/>
    </xf>
    <xf numFmtId="164" fontId="16" fillId="0" borderId="20" xfId="0" applyNumberFormat="1" applyFont="1" applyBorder="1" applyAlignment="1">
      <alignment horizontal="center" vertical="center" wrapText="1"/>
    </xf>
    <xf numFmtId="0" fontId="3" fillId="0" borderId="1" xfId="0" applyFont="1" applyBorder="1" applyAlignment="1">
      <alignment vertical="center" wrapText="1" readingOrder="1"/>
    </xf>
    <xf numFmtId="0" fontId="3" fillId="0" borderId="1" xfId="0" applyFont="1" applyBorder="1" applyAlignment="1">
      <alignment horizontal="center" vertical="center" wrapText="1" readingOrder="1"/>
    </xf>
    <xf numFmtId="0" fontId="3" fillId="0" borderId="21" xfId="0" applyFont="1" applyBorder="1" applyAlignment="1">
      <alignment horizontal="center" vertical="center" wrapText="1" readingOrder="1"/>
    </xf>
    <xf numFmtId="0" fontId="0" fillId="0" borderId="0" xfId="0" applyAlignment="1">
      <alignment horizontal="right"/>
    </xf>
    <xf numFmtId="0" fontId="0" fillId="0" borderId="0" xfId="0" applyAlignment="1">
      <alignment horizontal="left"/>
    </xf>
    <xf numFmtId="0" fontId="13" fillId="0" borderId="0" xfId="0" applyFont="1" applyAlignment="1">
      <alignment horizontal="left"/>
    </xf>
    <xf numFmtId="0" fontId="5" fillId="0" borderId="4" xfId="0" applyFont="1" applyBorder="1" applyAlignment="1">
      <alignment vertical="center" wrapText="1"/>
    </xf>
    <xf numFmtId="0" fontId="3" fillId="0" borderId="12" xfId="0" applyFont="1" applyBorder="1" applyAlignment="1">
      <alignment horizontal="center" vertical="center" wrapText="1" readingOrder="1"/>
    </xf>
    <xf numFmtId="0" fontId="3" fillId="0" borderId="12" xfId="0" applyFont="1" applyBorder="1" applyAlignment="1">
      <alignment horizontal="left" vertical="center" wrapText="1" readingOrder="1"/>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3" fillId="0" borderId="13" xfId="0" applyFont="1" applyBorder="1" applyAlignment="1">
      <alignment horizontal="center" vertical="center" wrapText="1" readingOrder="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0" fillId="0" borderId="9" xfId="0" applyBorder="1" applyAlignment="1">
      <alignment horizontal="center" vertical="center"/>
    </xf>
    <xf numFmtId="165" fontId="4" fillId="0" borderId="9" xfId="0" applyNumberFormat="1" applyFont="1" applyBorder="1" applyAlignment="1">
      <alignment horizontal="center" vertical="center" wrapText="1" readingOrder="1"/>
    </xf>
    <xf numFmtId="0" fontId="4" fillId="0" borderId="14" xfId="0" applyFont="1" applyBorder="1" applyAlignment="1">
      <alignment horizontal="center" vertical="center" wrapText="1" readingOrder="1"/>
    </xf>
    <xf numFmtId="166" fontId="4" fillId="0" borderId="9" xfId="0" applyNumberFormat="1" applyFont="1" applyBorder="1" applyAlignment="1">
      <alignment horizontal="center" vertical="center" wrapText="1" readingOrder="1"/>
    </xf>
    <xf numFmtId="9" fontId="4" fillId="0" borderId="15" xfId="0" applyNumberFormat="1" applyFont="1" applyBorder="1" applyAlignment="1">
      <alignment horizontal="center" vertical="center" wrapText="1" readingOrder="1"/>
    </xf>
    <xf numFmtId="0" fontId="3" fillId="0" borderId="0" xfId="0" applyFont="1" applyAlignment="1">
      <alignment horizontal="left" vertical="center" wrapText="1" readingOrder="1"/>
    </xf>
    <xf numFmtId="0" fontId="0" fillId="0" borderId="8" xfId="0" applyBorder="1" applyAlignment="1">
      <alignment horizontal="center" vertical="center"/>
    </xf>
    <xf numFmtId="0" fontId="8" fillId="0" borderId="8" xfId="0" applyFont="1" applyBorder="1" applyAlignment="1">
      <alignment vertical="center"/>
    </xf>
    <xf numFmtId="0" fontId="2" fillId="0" borderId="8" xfId="0" applyFont="1" applyBorder="1" applyAlignment="1">
      <alignment wrapText="1"/>
    </xf>
    <xf numFmtId="2" fontId="0" fillId="0" borderId="8" xfId="0" applyNumberFormat="1" applyBorder="1" applyAlignment="1">
      <alignment horizontal="center"/>
    </xf>
    <xf numFmtId="0" fontId="2" fillId="0" borderId="8" xfId="0" applyFont="1" applyBorder="1" applyAlignment="1">
      <alignment horizontal="center" vertical="center"/>
    </xf>
    <xf numFmtId="9" fontId="3" fillId="0" borderId="8" xfId="0" applyNumberFormat="1" applyFont="1" applyBorder="1" applyAlignment="1">
      <alignment horizontal="center" vertical="center" wrapText="1" readingOrder="1"/>
    </xf>
    <xf numFmtId="168" fontId="4" fillId="0" borderId="8" xfId="1" applyNumberFormat="1" applyFont="1" applyFill="1" applyBorder="1" applyAlignment="1">
      <alignment horizontal="center" vertical="center" wrapText="1" readingOrder="1"/>
    </xf>
    <xf numFmtId="165" fontId="0" fillId="0" borderId="8" xfId="0" applyNumberFormat="1" applyBorder="1" applyAlignment="1">
      <alignment horizontal="center" vertical="center"/>
    </xf>
    <xf numFmtId="168" fontId="4" fillId="0" borderId="8" xfId="0" applyNumberFormat="1" applyFont="1" applyBorder="1" applyAlignment="1">
      <alignment horizontal="center" vertical="center" wrapText="1" readingOrder="1"/>
    </xf>
    <xf numFmtId="165" fontId="3" fillId="0" borderId="8" xfId="0" applyNumberFormat="1" applyFont="1" applyBorder="1" applyAlignment="1">
      <alignment horizontal="center" vertical="center" wrapText="1" readingOrder="1"/>
    </xf>
    <xf numFmtId="0" fontId="9" fillId="0" borderId="8" xfId="0" applyFont="1" applyBorder="1"/>
    <xf numFmtId="0" fontId="2" fillId="0" borderId="8" xfId="0" applyFont="1" applyBorder="1" applyAlignment="1">
      <alignment horizontal="center"/>
    </xf>
    <xf numFmtId="165" fontId="2" fillId="0" borderId="8" xfId="2" applyNumberFormat="1" applyFont="1" applyFill="1" applyBorder="1" applyAlignment="1">
      <alignment horizontal="center"/>
    </xf>
    <xf numFmtId="44" fontId="0" fillId="0" borderId="8" xfId="1" applyFont="1" applyFill="1" applyBorder="1" applyAlignment="1">
      <alignment vertical="center"/>
    </xf>
    <xf numFmtId="0" fontId="6" fillId="2" borderId="3" xfId="0" applyFont="1" applyFill="1" applyBorder="1" applyAlignment="1">
      <alignment horizontal="center" vertical="center" wrapText="1"/>
    </xf>
    <xf numFmtId="0" fontId="0" fillId="2" borderId="0" xfId="0" applyFill="1"/>
    <xf numFmtId="0" fontId="2" fillId="2" borderId="0" xfId="0" applyFont="1" applyFill="1"/>
    <xf numFmtId="0" fontId="24" fillId="2" borderId="0" xfId="0" applyFont="1" applyFill="1"/>
    <xf numFmtId="10" fontId="0" fillId="0" borderId="8" xfId="2" applyNumberFormat="1" applyFont="1" applyFill="1" applyBorder="1" applyAlignment="1">
      <alignment horizontal="center" vertical="center" wrapText="1"/>
    </xf>
    <xf numFmtId="0" fontId="12" fillId="0" borderId="8" xfId="0" applyFont="1" applyBorder="1" applyAlignment="1">
      <alignment vertical="center"/>
    </xf>
    <xf numFmtId="0" fontId="12" fillId="2" borderId="8" xfId="0" applyFont="1" applyFill="1" applyBorder="1" applyAlignment="1">
      <alignment horizontal="center" vertical="center"/>
    </xf>
    <xf numFmtId="165" fontId="0" fillId="0" borderId="8" xfId="2" applyNumberFormat="1" applyFont="1" applyFill="1" applyBorder="1" applyAlignment="1">
      <alignment horizontal="center" vertical="center" wrapText="1"/>
    </xf>
    <xf numFmtId="0" fontId="12" fillId="0" borderId="8" xfId="0" applyFont="1" applyBorder="1" applyAlignment="1">
      <alignment horizontal="center" vertical="center"/>
    </xf>
    <xf numFmtId="0" fontId="0" fillId="2" borderId="0" xfId="0" applyFill="1" applyAlignment="1">
      <alignment horizontal="center"/>
    </xf>
    <xf numFmtId="0" fontId="4" fillId="0" borderId="12" xfId="0" applyFont="1" applyBorder="1" applyAlignment="1">
      <alignment horizontal="center" vertical="center" wrapText="1" readingOrder="1"/>
    </xf>
    <xf numFmtId="167" fontId="2" fillId="0" borderId="17" xfId="0" applyNumberFormat="1" applyFont="1" applyBorder="1" applyAlignment="1">
      <alignment vertical="center"/>
    </xf>
    <xf numFmtId="167" fontId="2" fillId="0" borderId="10" xfId="0" applyNumberFormat="1" applyFont="1" applyBorder="1" applyAlignment="1">
      <alignment vertical="center"/>
    </xf>
    <xf numFmtId="167" fontId="2" fillId="0" borderId="18" xfId="0" applyNumberFormat="1" applyFont="1" applyBorder="1" applyAlignment="1">
      <alignment vertical="center"/>
    </xf>
    <xf numFmtId="167" fontId="2" fillId="0" borderId="17" xfId="0" applyNumberFormat="1" applyFont="1" applyBorder="1" applyAlignment="1">
      <alignment horizontal="center" vertical="center"/>
    </xf>
    <xf numFmtId="0" fontId="0" fillId="0" borderId="31" xfId="0" applyBorder="1"/>
    <xf numFmtId="0" fontId="23" fillId="0" borderId="0" xfId="0" applyFont="1"/>
    <xf numFmtId="0" fontId="26" fillId="0" borderId="0" xfId="0" applyFont="1"/>
    <xf numFmtId="0" fontId="3" fillId="0" borderId="19" xfId="0" applyFont="1" applyBorder="1" applyAlignment="1">
      <alignment horizontal="center" vertical="center" wrapText="1" readingOrder="1"/>
    </xf>
    <xf numFmtId="8" fontId="0" fillId="4" borderId="32" xfId="0" applyNumberFormat="1" applyFill="1" applyBorder="1"/>
    <xf numFmtId="8" fontId="0" fillId="0" borderId="6" xfId="0" applyNumberFormat="1" applyBorder="1" applyAlignment="1">
      <alignment horizontal="center"/>
    </xf>
    <xf numFmtId="168" fontId="0" fillId="0" borderId="6" xfId="0" applyNumberFormat="1" applyBorder="1" applyAlignment="1">
      <alignment horizontal="center"/>
    </xf>
    <xf numFmtId="9" fontId="0" fillId="0" borderId="7" xfId="0" applyNumberFormat="1" applyBorder="1" applyAlignment="1">
      <alignment horizontal="center"/>
    </xf>
    <xf numFmtId="8" fontId="0" fillId="0" borderId="7" xfId="0" applyNumberFormat="1" applyBorder="1" applyAlignment="1">
      <alignment horizontal="center"/>
    </xf>
    <xf numFmtId="8" fontId="0" fillId="4" borderId="32" xfId="0" applyNumberFormat="1" applyFill="1" applyBorder="1" applyAlignment="1">
      <alignment horizontal="center"/>
    </xf>
    <xf numFmtId="0" fontId="2" fillId="0" borderId="8" xfId="0" applyFont="1" applyBorder="1" applyAlignment="1">
      <alignment vertical="center" wrapText="1"/>
    </xf>
    <xf numFmtId="0" fontId="0" fillId="0" borderId="8" xfId="0" applyBorder="1" applyAlignment="1">
      <alignment horizontal="center"/>
    </xf>
    <xf numFmtId="165" fontId="0" fillId="0" borderId="8" xfId="2" applyNumberFormat="1" applyFont="1" applyFill="1" applyBorder="1" applyAlignment="1">
      <alignment horizontal="center"/>
    </xf>
    <xf numFmtId="168" fontId="0" fillId="0" borderId="8" xfId="0" applyNumberFormat="1" applyBorder="1" applyAlignment="1">
      <alignment horizontal="center"/>
    </xf>
    <xf numFmtId="165" fontId="0" fillId="0" borderId="8" xfId="0" applyNumberFormat="1" applyBorder="1"/>
    <xf numFmtId="167" fontId="2" fillId="0" borderId="8" xfId="0" applyNumberFormat="1" applyFont="1" applyBorder="1"/>
    <xf numFmtId="165" fontId="2" fillId="0" borderId="8" xfId="0" applyNumberFormat="1" applyFont="1" applyBorder="1" applyAlignment="1">
      <alignment horizontal="center"/>
    </xf>
    <xf numFmtId="166" fontId="4" fillId="0" borderId="0" xfId="0" applyNumberFormat="1" applyFont="1" applyAlignment="1">
      <alignment horizontal="center" vertical="center" wrapText="1" readingOrder="1"/>
    </xf>
    <xf numFmtId="0" fontId="0" fillId="0" borderId="8" xfId="0" applyBorder="1" applyAlignment="1">
      <alignment vertical="center"/>
    </xf>
    <xf numFmtId="165" fontId="0" fillId="0" borderId="8" xfId="0" applyNumberFormat="1" applyBorder="1" applyAlignment="1">
      <alignment horizontal="center"/>
    </xf>
    <xf numFmtId="9" fontId="0" fillId="0" borderId="8" xfId="2" applyFont="1" applyFill="1" applyBorder="1"/>
    <xf numFmtId="0" fontId="2" fillId="0" borderId="8" xfId="0" applyFont="1" applyBorder="1"/>
    <xf numFmtId="0" fontId="2" fillId="0" borderId="0" xfId="0" applyFont="1"/>
    <xf numFmtId="167" fontId="2" fillId="0" borderId="0" xfId="0" applyNumberFormat="1" applyFont="1"/>
    <xf numFmtId="2" fontId="4" fillId="0" borderId="15" xfId="0" applyNumberFormat="1" applyFont="1" applyBorder="1" applyAlignment="1">
      <alignment horizontal="center" vertical="center" wrapText="1" readingOrder="1"/>
    </xf>
    <xf numFmtId="164" fontId="4" fillId="0" borderId="8" xfId="2" applyNumberFormat="1" applyFont="1" applyFill="1" applyBorder="1" applyAlignment="1">
      <alignment horizontal="center" vertical="center" wrapText="1" readingOrder="1"/>
    </xf>
    <xf numFmtId="165" fontId="0" fillId="0" borderId="8" xfId="2" applyNumberFormat="1" applyFont="1" applyFill="1" applyBorder="1"/>
    <xf numFmtId="44" fontId="0" fillId="0" borderId="8" xfId="0" applyNumberFormat="1" applyBorder="1" applyAlignment="1">
      <alignment horizontal="center" vertical="center"/>
    </xf>
    <xf numFmtId="0" fontId="18" fillId="0" borderId="0" xfId="0" applyFont="1"/>
    <xf numFmtId="9" fontId="4" fillId="0" borderId="9" xfId="0" applyNumberFormat="1" applyFont="1" applyBorder="1" applyAlignment="1">
      <alignment horizontal="center" vertical="center" wrapText="1" readingOrder="1"/>
    </xf>
    <xf numFmtId="0" fontId="4" fillId="0" borderId="15" xfId="0" applyFont="1" applyBorder="1" applyAlignment="1">
      <alignment horizontal="center" vertical="center" wrapText="1" readingOrder="1"/>
    </xf>
    <xf numFmtId="0" fontId="9" fillId="0" borderId="8" xfId="0" applyFont="1" applyBorder="1" applyAlignment="1">
      <alignment vertical="center"/>
    </xf>
    <xf numFmtId="10" fontId="0" fillId="0" borderId="8" xfId="2" applyNumberFormat="1" applyFont="1" applyFill="1" applyBorder="1"/>
    <xf numFmtId="8" fontId="4" fillId="0" borderId="8" xfId="1" applyNumberFormat="1" applyFont="1" applyFill="1" applyBorder="1" applyAlignment="1">
      <alignment horizontal="center" vertical="center" wrapText="1" readingOrder="1"/>
    </xf>
    <xf numFmtId="44" fontId="4" fillId="0" borderId="8" xfId="1" applyFont="1" applyFill="1" applyBorder="1" applyAlignment="1">
      <alignment horizontal="center" vertical="center" wrapText="1" readingOrder="1"/>
    </xf>
    <xf numFmtId="44" fontId="0" fillId="0" borderId="8" xfId="0" applyNumberFormat="1" applyBorder="1" applyAlignment="1">
      <alignment horizontal="center" readingOrder="1"/>
    </xf>
    <xf numFmtId="10" fontId="0" fillId="0" borderId="8" xfId="0" applyNumberFormat="1" applyBorder="1" applyAlignment="1">
      <alignment horizontal="center"/>
    </xf>
    <xf numFmtId="0" fontId="4" fillId="0" borderId="8" xfId="0" applyFont="1" applyBorder="1" applyAlignment="1">
      <alignment horizontal="left" vertical="center" wrapText="1" readingOrder="1"/>
    </xf>
    <xf numFmtId="168" fontId="0" fillId="0" borderId="8" xfId="0" applyNumberFormat="1" applyBorder="1" applyAlignment="1">
      <alignment horizontal="center" readingOrder="1"/>
    </xf>
    <xf numFmtId="166" fontId="4" fillId="0" borderId="0" xfId="2" applyNumberFormat="1" applyFont="1" applyFill="1" applyBorder="1" applyAlignment="1">
      <alignment horizontal="center" vertical="center" wrapText="1" readingOrder="1"/>
    </xf>
    <xf numFmtId="165" fontId="4" fillId="0" borderId="2" xfId="0" applyNumberFormat="1" applyFont="1" applyBorder="1" applyAlignment="1">
      <alignment horizontal="center" vertical="center" wrapText="1" readingOrder="1"/>
    </xf>
    <xf numFmtId="166" fontId="0" fillId="0" borderId="2" xfId="0" applyNumberFormat="1" applyBorder="1" applyAlignment="1">
      <alignment horizontal="center"/>
    </xf>
    <xf numFmtId="2" fontId="7" fillId="0" borderId="8" xfId="0" applyNumberFormat="1" applyFont="1" applyBorder="1" applyAlignment="1">
      <alignment horizontal="center" vertical="center"/>
    </xf>
    <xf numFmtId="165" fontId="7" fillId="0" borderId="8" xfId="0" applyNumberFormat="1" applyFont="1" applyBorder="1" applyAlignment="1">
      <alignment horizontal="center" vertical="center" wrapText="1"/>
    </xf>
    <xf numFmtId="44" fontId="12" fillId="0" borderId="8" xfId="0" applyNumberFormat="1" applyFont="1" applyBorder="1" applyAlignment="1">
      <alignment vertical="center"/>
    </xf>
    <xf numFmtId="0" fontId="5" fillId="0" borderId="0" xfId="0" applyFont="1" applyAlignment="1">
      <alignment vertical="center" wrapText="1"/>
    </xf>
    <xf numFmtId="166" fontId="0" fillId="0" borderId="2" xfId="0" applyNumberFormat="1" applyBorder="1" applyAlignment="1">
      <alignment horizontal="center" vertical="center"/>
    </xf>
    <xf numFmtId="166" fontId="0" fillId="0" borderId="0" xfId="0" applyNumberFormat="1" applyAlignment="1">
      <alignment horizontal="center" vertical="center"/>
    </xf>
    <xf numFmtId="0" fontId="0" fillId="0" borderId="0" xfId="0" applyAlignment="1">
      <alignment vertical="center"/>
    </xf>
    <xf numFmtId="165" fontId="4" fillId="0" borderId="2" xfId="2" applyNumberFormat="1" applyFont="1" applyFill="1" applyBorder="1" applyAlignment="1">
      <alignment horizontal="center" vertical="center" wrapText="1" readingOrder="1"/>
    </xf>
    <xf numFmtId="165" fontId="3" fillId="0" borderId="8" xfId="2" applyNumberFormat="1" applyFont="1" applyFill="1" applyBorder="1" applyAlignment="1">
      <alignment horizontal="center" vertical="center" wrapText="1" readingOrder="1"/>
    </xf>
    <xf numFmtId="165" fontId="4" fillId="0" borderId="8" xfId="0" applyNumberFormat="1" applyFont="1" applyBorder="1" applyAlignment="1">
      <alignment horizontal="center" vertical="center" wrapText="1" readingOrder="1"/>
    </xf>
    <xf numFmtId="164" fontId="4" fillId="0" borderId="8" xfId="0" applyNumberFormat="1" applyFont="1" applyBorder="1" applyAlignment="1">
      <alignment horizontal="center" vertical="center" wrapText="1" readingOrder="1"/>
    </xf>
    <xf numFmtId="0" fontId="0" fillId="5" borderId="0" xfId="0" applyFill="1"/>
    <xf numFmtId="168" fontId="0" fillId="5" borderId="0" xfId="0" applyNumberFormat="1" applyFill="1"/>
    <xf numFmtId="9" fontId="0" fillId="5" borderId="0" xfId="0" applyNumberFormat="1" applyFill="1"/>
    <xf numFmtId="8" fontId="0" fillId="5" borderId="0" xfId="0" applyNumberFormat="1" applyFill="1"/>
    <xf numFmtId="165" fontId="0" fillId="0" borderId="8" xfId="2" applyNumberFormat="1" applyFont="1" applyFill="1" applyBorder="1" applyAlignment="1">
      <alignment horizontal="center" vertical="center"/>
    </xf>
    <xf numFmtId="9" fontId="0" fillId="0" borderId="6" xfId="0" applyNumberFormat="1" applyBorder="1" applyAlignment="1">
      <alignment horizontal="center"/>
    </xf>
    <xf numFmtId="168" fontId="0" fillId="4" borderId="6" xfId="0" applyNumberFormat="1" applyFill="1" applyBorder="1" applyAlignment="1">
      <alignment horizontal="center"/>
    </xf>
    <xf numFmtId="8" fontId="0" fillId="4" borderId="6" xfId="0" applyNumberFormat="1" applyFill="1" applyBorder="1" applyAlignment="1">
      <alignment horizontal="center"/>
    </xf>
    <xf numFmtId="0" fontId="9" fillId="5" borderId="0" xfId="0" applyFont="1" applyFill="1"/>
    <xf numFmtId="44" fontId="0" fillId="0" borderId="8" xfId="2" applyNumberFormat="1" applyFont="1" applyFill="1" applyBorder="1" applyAlignment="1">
      <alignment horizontal="center" vertical="center"/>
    </xf>
    <xf numFmtId="2" fontId="0" fillId="0" borderId="8" xfId="0" applyNumberFormat="1" applyBorder="1" applyAlignment="1">
      <alignment horizontal="center" vertical="center"/>
    </xf>
    <xf numFmtId="167" fontId="0" fillId="0" borderId="8" xfId="0" applyNumberFormat="1" applyBorder="1" applyAlignment="1">
      <alignment vertical="center"/>
    </xf>
    <xf numFmtId="44" fontId="4" fillId="0" borderId="8" xfId="2" applyNumberFormat="1" applyFont="1" applyFill="1" applyBorder="1" applyAlignment="1">
      <alignment horizontal="center" vertical="center" wrapText="1" readingOrder="1"/>
    </xf>
    <xf numFmtId="44" fontId="0" fillId="0" borderId="6" xfId="0" applyNumberFormat="1" applyBorder="1" applyAlignment="1">
      <alignment horizontal="center"/>
    </xf>
    <xf numFmtId="0" fontId="0" fillId="5" borderId="0" xfId="0" applyFill="1" applyAlignment="1">
      <alignment horizontal="center" vertical="center"/>
    </xf>
    <xf numFmtId="44" fontId="0" fillId="5" borderId="0" xfId="0" applyNumberFormat="1" applyFill="1"/>
    <xf numFmtId="164" fontId="0" fillId="0" borderId="6" xfId="0" applyNumberFormat="1" applyBorder="1" applyAlignment="1">
      <alignment horizontal="center"/>
    </xf>
    <xf numFmtId="6" fontId="0" fillId="0" borderId="6" xfId="0" applyNumberFormat="1" applyBorder="1" applyAlignment="1">
      <alignment horizontal="center"/>
    </xf>
    <xf numFmtId="9" fontId="0" fillId="0" borderId="6" xfId="0" applyNumberFormat="1" applyBorder="1"/>
    <xf numFmtId="10" fontId="0" fillId="0" borderId="8" xfId="0" applyNumberFormat="1" applyBorder="1" applyAlignment="1">
      <alignment horizontal="center" vertical="center"/>
    </xf>
    <xf numFmtId="0" fontId="13" fillId="0" borderId="0" xfId="0" applyFont="1" applyAlignment="1">
      <alignment horizontal="center"/>
    </xf>
    <xf numFmtId="0" fontId="9" fillId="5" borderId="0" xfId="0" applyFont="1" applyFill="1" applyAlignment="1">
      <alignment vertical="center"/>
    </xf>
    <xf numFmtId="8" fontId="0" fillId="5" borderId="0" xfId="0" applyNumberFormat="1" applyFill="1" applyAlignment="1">
      <alignment horizontal="center"/>
    </xf>
    <xf numFmtId="168" fontId="0" fillId="5" borderId="0" xfId="0" applyNumberFormat="1" applyFill="1" applyAlignment="1">
      <alignment horizontal="center"/>
    </xf>
    <xf numFmtId="9" fontId="0" fillId="5" borderId="0" xfId="0" applyNumberFormat="1" applyFill="1" applyAlignment="1">
      <alignment horizontal="center"/>
    </xf>
    <xf numFmtId="6" fontId="0" fillId="4" borderId="6" xfId="0" applyNumberFormat="1" applyFill="1" applyBorder="1" applyAlignment="1">
      <alignment horizontal="center"/>
    </xf>
    <xf numFmtId="164" fontId="0" fillId="4" borderId="6" xfId="0" applyNumberFormat="1" applyFill="1" applyBorder="1" applyAlignment="1">
      <alignment horizontal="center"/>
    </xf>
    <xf numFmtId="0" fontId="21" fillId="0" borderId="0" xfId="0" applyFont="1"/>
    <xf numFmtId="0" fontId="22" fillId="0" borderId="0" xfId="0" applyFont="1"/>
    <xf numFmtId="0" fontId="23" fillId="0" borderId="0" xfId="0" applyFont="1" applyAlignment="1">
      <alignment vertical="top" wrapText="1"/>
    </xf>
    <xf numFmtId="0" fontId="23" fillId="0" borderId="0" xfId="0" quotePrefix="1" applyFont="1"/>
    <xf numFmtId="0" fontId="23" fillId="0" borderId="0" xfId="0" applyFont="1" applyAlignment="1">
      <alignment vertical="top"/>
    </xf>
    <xf numFmtId="0" fontId="23" fillId="0" borderId="0" xfId="0" quotePrefix="1" applyFont="1" applyAlignment="1">
      <alignment vertical="top"/>
    </xf>
    <xf numFmtId="44" fontId="0" fillId="6" borderId="8" xfId="0" applyNumberFormat="1" applyFill="1" applyBorder="1"/>
    <xf numFmtId="44" fontId="0" fillId="6" borderId="8" xfId="1" applyFont="1" applyFill="1" applyBorder="1"/>
    <xf numFmtId="9" fontId="0" fillId="0" borderId="0" xfId="2" applyFont="1" applyFill="1"/>
    <xf numFmtId="0" fontId="0" fillId="6" borderId="8" xfId="0" applyFill="1" applyBorder="1"/>
    <xf numFmtId="9" fontId="31" fillId="0" borderId="2" xfId="2" applyFont="1" applyFill="1" applyBorder="1" applyAlignment="1">
      <alignment horizontal="center" vertical="center" wrapText="1"/>
    </xf>
    <xf numFmtId="44" fontId="19" fillId="0" borderId="0" xfId="0" applyNumberFormat="1" applyFont="1"/>
    <xf numFmtId="0" fontId="27" fillId="6" borderId="8" xfId="0" applyFont="1" applyFill="1" applyBorder="1"/>
    <xf numFmtId="44" fontId="4" fillId="6" borderId="8" xfId="0" applyNumberFormat="1" applyFont="1" applyFill="1" applyBorder="1" applyAlignment="1">
      <alignment horizontal="center" vertical="center" wrapText="1" readingOrder="1"/>
    </xf>
    <xf numFmtId="165" fontId="0" fillId="6" borderId="8" xfId="0" applyNumberFormat="1" applyFill="1" applyBorder="1"/>
    <xf numFmtId="165" fontId="0" fillId="6" borderId="8" xfId="0" applyNumberFormat="1" applyFill="1" applyBorder="1" applyAlignment="1">
      <alignment horizontal="center"/>
    </xf>
    <xf numFmtId="168" fontId="0" fillId="6" borderId="8" xfId="0" applyNumberFormat="1" applyFill="1" applyBorder="1" applyAlignment="1">
      <alignment horizontal="center"/>
    </xf>
    <xf numFmtId="0" fontId="28" fillId="0" borderId="0" xfId="0" applyFont="1"/>
    <xf numFmtId="10" fontId="28" fillId="0" borderId="0" xfId="0" applyNumberFormat="1" applyFont="1"/>
    <xf numFmtId="0" fontId="28" fillId="5" borderId="0" xfId="0" applyFont="1" applyFill="1"/>
    <xf numFmtId="10" fontId="28" fillId="0" borderId="0" xfId="2" applyNumberFormat="1" applyFont="1" applyFill="1"/>
    <xf numFmtId="1" fontId="28" fillId="0" borderId="0" xfId="0" applyNumberFormat="1" applyFont="1"/>
    <xf numFmtId="165" fontId="28" fillId="0" borderId="0" xfId="0" applyNumberFormat="1" applyFont="1"/>
    <xf numFmtId="10" fontId="28" fillId="0" borderId="0" xfId="2" applyNumberFormat="1" applyFont="1" applyFill="1" applyAlignment="1">
      <alignment horizontal="center"/>
    </xf>
    <xf numFmtId="0" fontId="23" fillId="0" borderId="0" xfId="0" applyFont="1" applyAlignment="1">
      <alignment horizontal="left" wrapText="1"/>
    </xf>
    <xf numFmtId="0" fontId="23" fillId="0" borderId="0" xfId="0" applyFont="1" applyAlignment="1">
      <alignment vertical="top"/>
    </xf>
    <xf numFmtId="0" fontId="23" fillId="0" borderId="0" xfId="0" applyFont="1" applyAlignment="1">
      <alignment vertical="top" wrapText="1"/>
    </xf>
    <xf numFmtId="0" fontId="3" fillId="0" borderId="27" xfId="0" applyFont="1" applyBorder="1" applyAlignment="1">
      <alignment vertical="center" wrapText="1" readingOrder="1"/>
    </xf>
    <xf numFmtId="0" fontId="3" fillId="0" borderId="28" xfId="0" applyFont="1" applyBorder="1" applyAlignment="1">
      <alignment vertical="center" wrapText="1" readingOrder="1"/>
    </xf>
    <xf numFmtId="0" fontId="3" fillId="0" borderId="29" xfId="0" applyFont="1" applyBorder="1" applyAlignment="1">
      <alignment vertical="center" wrapText="1" readingOrder="1"/>
    </xf>
    <xf numFmtId="9" fontId="4" fillId="0" borderId="1" xfId="0" applyNumberFormat="1" applyFont="1" applyBorder="1" applyAlignment="1">
      <alignment horizontal="center" vertical="center" wrapText="1" readingOrder="1"/>
    </xf>
    <xf numFmtId="9" fontId="4" fillId="0" borderId="22" xfId="0" applyNumberFormat="1" applyFont="1" applyBorder="1" applyAlignment="1">
      <alignment horizontal="center" vertical="center" wrapText="1" readingOrder="1"/>
    </xf>
    <xf numFmtId="9" fontId="4" fillId="0" borderId="20" xfId="0" applyNumberFormat="1" applyFont="1" applyBorder="1" applyAlignment="1">
      <alignment horizontal="center" vertical="center" wrapText="1" readingOrder="1"/>
    </xf>
    <xf numFmtId="9" fontId="4" fillId="0" borderId="27" xfId="0" applyNumberFormat="1" applyFont="1" applyBorder="1" applyAlignment="1">
      <alignment horizontal="center" vertical="center" wrapText="1" readingOrder="1"/>
    </xf>
    <xf numFmtId="9" fontId="4" fillId="0" borderId="28" xfId="0" applyNumberFormat="1" applyFont="1" applyBorder="1" applyAlignment="1">
      <alignment horizontal="center" vertical="center" wrapText="1" readingOrder="1"/>
    </xf>
    <xf numFmtId="9" fontId="4" fillId="0" borderId="29" xfId="0" applyNumberFormat="1" applyFont="1" applyBorder="1" applyAlignment="1">
      <alignment horizontal="center" vertical="center" wrapText="1" readingOrder="1"/>
    </xf>
    <xf numFmtId="9" fontId="4" fillId="0" borderId="24" xfId="0" applyNumberFormat="1" applyFont="1" applyBorder="1" applyAlignment="1">
      <alignment horizontal="center" vertical="center" wrapText="1" readingOrder="1"/>
    </xf>
    <xf numFmtId="9" fontId="4" fillId="0" borderId="25" xfId="0" applyNumberFormat="1" applyFont="1" applyBorder="1" applyAlignment="1">
      <alignment horizontal="center" vertical="center" wrapText="1" readingOrder="1"/>
    </xf>
    <xf numFmtId="9" fontId="4" fillId="0" borderId="26" xfId="0" applyNumberFormat="1" applyFont="1" applyBorder="1" applyAlignment="1">
      <alignment horizontal="center" vertical="center" wrapText="1" readingOrder="1"/>
    </xf>
    <xf numFmtId="0" fontId="3" fillId="0" borderId="1" xfId="0" applyFont="1" applyBorder="1" applyAlignment="1">
      <alignment vertical="center" wrapText="1" readingOrder="1"/>
    </xf>
    <xf numFmtId="0" fontId="3" fillId="0" borderId="22" xfId="0" applyFont="1" applyBorder="1" applyAlignment="1">
      <alignment vertical="center" wrapText="1" readingOrder="1"/>
    </xf>
    <xf numFmtId="0" fontId="3" fillId="0" borderId="20" xfId="0" applyFont="1" applyBorder="1" applyAlignment="1">
      <alignment vertical="center" wrapText="1" readingOrder="1"/>
    </xf>
    <xf numFmtId="0" fontId="4" fillId="0" borderId="19" xfId="0" applyFont="1" applyBorder="1" applyAlignment="1">
      <alignment horizontal="left" vertical="center" wrapText="1" readingOrder="1"/>
    </xf>
    <xf numFmtId="0" fontId="4" fillId="0" borderId="21" xfId="0" applyFont="1" applyBorder="1" applyAlignment="1">
      <alignment horizontal="left" vertical="center" wrapText="1" readingOrder="1"/>
    </xf>
    <xf numFmtId="0" fontId="3" fillId="0" borderId="2" xfId="0" applyFont="1" applyBorder="1" applyAlignment="1">
      <alignment vertical="center" wrapText="1" readingOrder="1"/>
    </xf>
    <xf numFmtId="0" fontId="4" fillId="0" borderId="2" xfId="0" applyFont="1" applyBorder="1" applyAlignment="1">
      <alignment horizontal="left" vertical="center" wrapText="1" readingOrder="1"/>
    </xf>
    <xf numFmtId="0" fontId="3" fillId="0" borderId="1" xfId="0" applyFont="1" applyBorder="1" applyAlignment="1">
      <alignment horizontal="center" vertical="center" wrapText="1" readingOrder="1"/>
    </xf>
    <xf numFmtId="0" fontId="3" fillId="0" borderId="20" xfId="0" applyFont="1" applyBorder="1" applyAlignment="1">
      <alignment horizontal="center" vertical="center" wrapText="1" readingOrder="1"/>
    </xf>
    <xf numFmtId="0" fontId="3" fillId="0" borderId="19" xfId="0" applyFont="1" applyBorder="1" applyAlignment="1">
      <alignment horizontal="center" vertical="center" wrapText="1" readingOrder="1"/>
    </xf>
    <xf numFmtId="0" fontId="3" fillId="0" borderId="21" xfId="0" applyFont="1" applyBorder="1" applyAlignment="1">
      <alignment horizontal="center" vertical="center" wrapText="1" readingOrder="1"/>
    </xf>
    <xf numFmtId="0" fontId="3" fillId="0" borderId="6" xfId="0" applyFont="1" applyBorder="1" applyAlignment="1">
      <alignment horizontal="center" vertical="center" wrapText="1" readingOrder="1"/>
    </xf>
    <xf numFmtId="0" fontId="3" fillId="0" borderId="1" xfId="0" applyFont="1" applyBorder="1" applyAlignment="1">
      <alignment horizontal="left" vertical="center" wrapText="1" readingOrder="1"/>
    </xf>
    <xf numFmtId="0" fontId="3" fillId="0" borderId="22" xfId="0" applyFont="1" applyBorder="1" applyAlignment="1">
      <alignment horizontal="left" vertical="center" wrapText="1" readingOrder="1"/>
    </xf>
    <xf numFmtId="0" fontId="3" fillId="0" borderId="0" xfId="0" applyFont="1" applyAlignment="1">
      <alignment horizontal="left" vertical="center" wrapText="1" readingOrder="1"/>
    </xf>
    <xf numFmtId="0" fontId="3" fillId="0" borderId="30" xfId="0" applyFont="1" applyBorder="1" applyAlignment="1">
      <alignment horizontal="left" vertical="center" wrapText="1" readingOrder="1"/>
    </xf>
    <xf numFmtId="0" fontId="3" fillId="0" borderId="27" xfId="0" applyFont="1" applyBorder="1" applyAlignment="1">
      <alignment horizontal="center" vertical="center" wrapText="1" readingOrder="1"/>
    </xf>
    <xf numFmtId="9" fontId="4" fillId="0" borderId="1" xfId="2" applyFont="1" applyFill="1" applyBorder="1" applyAlignment="1">
      <alignment horizontal="center" vertical="center" wrapText="1" readingOrder="1"/>
    </xf>
    <xf numFmtId="9" fontId="4" fillId="0" borderId="20" xfId="2" applyFont="1" applyFill="1" applyBorder="1" applyAlignment="1">
      <alignment horizontal="center" vertical="center" wrapText="1" readingOrder="1"/>
    </xf>
    <xf numFmtId="0" fontId="15" fillId="0" borderId="1" xfId="0" applyFont="1" applyBorder="1" applyAlignment="1">
      <alignment horizontal="center" vertical="top" wrapText="1"/>
    </xf>
    <xf numFmtId="0" fontId="15" fillId="0" borderId="20" xfId="0" applyFont="1" applyBorder="1" applyAlignment="1">
      <alignment horizontal="center" vertical="top" wrapText="1"/>
    </xf>
    <xf numFmtId="0" fontId="3" fillId="0" borderId="28" xfId="0" applyFont="1" applyBorder="1" applyAlignment="1">
      <alignment horizontal="left" vertical="center" wrapText="1" readingOrder="1"/>
    </xf>
    <xf numFmtId="0" fontId="3" fillId="0" borderId="29" xfId="0" applyFont="1" applyBorder="1" applyAlignment="1">
      <alignment horizontal="left" vertical="center" wrapText="1" readingOrder="1"/>
    </xf>
    <xf numFmtId="0" fontId="3" fillId="0" borderId="25" xfId="0" applyFont="1" applyBorder="1" applyAlignment="1">
      <alignment horizontal="left" vertical="center" wrapText="1" readingOrder="1"/>
    </xf>
    <xf numFmtId="0" fontId="3" fillId="0" borderId="26" xfId="0" applyFont="1" applyBorder="1" applyAlignment="1">
      <alignment horizontal="left" vertical="center" wrapText="1" readingOrder="1"/>
    </xf>
    <xf numFmtId="6" fontId="4" fillId="0" borderId="1" xfId="0" applyNumberFormat="1" applyFont="1" applyBorder="1" applyAlignment="1">
      <alignment horizontal="center" vertical="center" readingOrder="1"/>
    </xf>
    <xf numFmtId="6" fontId="4" fillId="0" borderId="22" xfId="0" applyNumberFormat="1" applyFont="1" applyBorder="1" applyAlignment="1">
      <alignment horizontal="center" vertical="center" readingOrder="1"/>
    </xf>
    <xf numFmtId="6" fontId="4" fillId="0" borderId="28" xfId="0" applyNumberFormat="1" applyFont="1" applyBorder="1" applyAlignment="1">
      <alignment horizontal="center" vertical="center" readingOrder="1"/>
    </xf>
    <xf numFmtId="6" fontId="4" fillId="0" borderId="20" xfId="0" applyNumberFormat="1" applyFont="1" applyBorder="1" applyAlignment="1">
      <alignment horizontal="center" vertical="center" readingOrder="1"/>
    </xf>
    <xf numFmtId="9" fontId="16" fillId="0" borderId="1" xfId="2" applyFont="1" applyFill="1" applyBorder="1" applyAlignment="1">
      <alignment horizontal="center" vertical="center" wrapText="1"/>
    </xf>
    <xf numFmtId="9" fontId="16" fillId="0" borderId="20" xfId="2" applyFont="1" applyFill="1" applyBorder="1" applyAlignment="1">
      <alignment horizontal="center" vertical="center" wrapText="1"/>
    </xf>
    <xf numFmtId="6" fontId="4" fillId="0" borderId="1" xfId="0" applyNumberFormat="1" applyFont="1" applyBorder="1" applyAlignment="1">
      <alignment horizontal="center" vertical="center" wrapText="1" readingOrder="1"/>
    </xf>
    <xf numFmtId="6" fontId="4" fillId="0" borderId="22" xfId="0" applyNumberFormat="1" applyFont="1" applyBorder="1" applyAlignment="1">
      <alignment horizontal="center" vertical="center" wrapText="1" readingOrder="1"/>
    </xf>
    <xf numFmtId="6" fontId="4" fillId="0" borderId="28" xfId="0" applyNumberFormat="1" applyFont="1" applyBorder="1" applyAlignment="1">
      <alignment horizontal="center" vertical="center" wrapText="1" readingOrder="1"/>
    </xf>
    <xf numFmtId="6" fontId="4" fillId="0" borderId="20" xfId="0" applyNumberFormat="1" applyFont="1" applyBorder="1" applyAlignment="1">
      <alignment horizontal="center" vertical="center" wrapText="1" readingOrder="1"/>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6" fillId="0" borderId="3" xfId="0" applyFont="1" applyBorder="1" applyAlignment="1">
      <alignment horizontal="center" vertical="center" wrapText="1"/>
    </xf>
    <xf numFmtId="0" fontId="6" fillId="0" borderId="11" xfId="0" applyFont="1" applyBorder="1" applyAlignment="1">
      <alignment horizontal="center" vertical="center" wrapText="1"/>
    </xf>
    <xf numFmtId="0" fontId="11" fillId="0" borderId="5" xfId="0" applyFont="1" applyBorder="1" applyAlignment="1">
      <alignment horizontal="center"/>
    </xf>
    <xf numFmtId="0" fontId="11" fillId="0" borderId="7" xfId="0" applyFont="1" applyBorder="1" applyAlignment="1">
      <alignment horizontal="center"/>
    </xf>
    <xf numFmtId="0" fontId="5" fillId="0" borderId="4" xfId="0" applyFont="1" applyBorder="1" applyAlignment="1">
      <alignment horizontal="center" vertical="center" wrapText="1"/>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25"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2" xfId="0" applyFont="1" applyBorder="1" applyAlignment="1">
      <alignment horizontal="center" vertical="center" wrapText="1" readingOrder="1"/>
    </xf>
    <xf numFmtId="167" fontId="2" fillId="0" borderId="17" xfId="0" applyNumberFormat="1" applyFont="1" applyBorder="1" applyAlignment="1">
      <alignment horizontal="center" vertical="center"/>
    </xf>
    <xf numFmtId="167" fontId="2" fillId="0" borderId="10" xfId="0" applyNumberFormat="1" applyFont="1" applyBorder="1" applyAlignment="1">
      <alignment horizontal="center" vertical="center"/>
    </xf>
    <xf numFmtId="167" fontId="2" fillId="0" borderId="18" xfId="0" applyNumberFormat="1" applyFont="1" applyBorder="1" applyAlignment="1">
      <alignment horizontal="center" vertical="center"/>
    </xf>
    <xf numFmtId="167" fontId="2" fillId="0" borderId="8" xfId="0" applyNumberFormat="1" applyFont="1" applyBorder="1" applyAlignment="1">
      <alignment horizontal="center" vertical="center"/>
    </xf>
    <xf numFmtId="0" fontId="5" fillId="0" borderId="33" xfId="0" applyFont="1" applyBorder="1" applyAlignment="1">
      <alignment horizontal="center" vertical="center"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www.bls.gov/ppi/ppidr201301.pdf"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8"/>
  <sheetViews>
    <sheetView showGridLines="0" topLeftCell="A7" zoomScale="70" zoomScaleNormal="70" workbookViewId="0">
      <selection activeCell="C14" sqref="C14"/>
    </sheetView>
  </sheetViews>
  <sheetFormatPr defaultColWidth="9.140625" defaultRowHeight="15" x14ac:dyDescent="0.25"/>
  <cols>
    <col min="1" max="2" width="9.140625" style="37"/>
    <col min="3" max="3" width="10.7109375" style="37" bestFit="1" customWidth="1"/>
    <col min="4" max="16384" width="9.140625" style="37"/>
  </cols>
  <sheetData>
    <row r="1" spans="1:28" ht="21" x14ac:dyDescent="0.35">
      <c r="A1" s="223" t="s">
        <v>172</v>
      </c>
      <c r="B1"/>
      <c r="C1"/>
      <c r="D1"/>
      <c r="E1"/>
      <c r="F1"/>
      <c r="G1"/>
      <c r="H1"/>
      <c r="I1"/>
      <c r="J1"/>
      <c r="K1"/>
      <c r="L1"/>
      <c r="M1"/>
      <c r="N1"/>
      <c r="O1"/>
      <c r="P1"/>
      <c r="Q1"/>
      <c r="R1"/>
      <c r="S1"/>
      <c r="T1"/>
      <c r="U1"/>
      <c r="V1"/>
      <c r="W1"/>
      <c r="X1"/>
      <c r="Y1"/>
      <c r="Z1"/>
      <c r="AA1"/>
      <c r="AB1"/>
    </row>
    <row r="2" spans="1:28" ht="18.75" x14ac:dyDescent="0.3">
      <c r="A2" s="224" t="s">
        <v>170</v>
      </c>
      <c r="B2"/>
      <c r="C2"/>
      <c r="D2"/>
      <c r="E2"/>
      <c r="F2"/>
      <c r="G2"/>
      <c r="H2"/>
      <c r="I2"/>
      <c r="J2"/>
      <c r="K2"/>
      <c r="L2"/>
      <c r="M2"/>
      <c r="N2"/>
      <c r="O2"/>
      <c r="P2"/>
      <c r="Q2"/>
      <c r="R2"/>
      <c r="S2"/>
      <c r="T2"/>
      <c r="U2"/>
      <c r="V2"/>
      <c r="W2"/>
      <c r="X2"/>
      <c r="Y2"/>
      <c r="Z2"/>
      <c r="AA2"/>
      <c r="AB2"/>
    </row>
    <row r="3" spans="1:28" ht="18.75" x14ac:dyDescent="0.3">
      <c r="A3" s="144" t="s">
        <v>199</v>
      </c>
      <c r="B3"/>
      <c r="C3"/>
      <c r="D3"/>
      <c r="E3"/>
      <c r="F3"/>
      <c r="G3"/>
      <c r="H3"/>
      <c r="I3"/>
      <c r="J3"/>
      <c r="K3"/>
      <c r="L3"/>
      <c r="M3"/>
      <c r="N3"/>
      <c r="O3"/>
      <c r="P3"/>
      <c r="Q3"/>
      <c r="R3"/>
      <c r="S3"/>
      <c r="T3"/>
      <c r="U3"/>
      <c r="V3"/>
      <c r="W3"/>
      <c r="X3"/>
      <c r="Y3"/>
      <c r="Z3"/>
      <c r="AA3"/>
      <c r="AB3"/>
    </row>
    <row r="4" spans="1:28" x14ac:dyDescent="0.25">
      <c r="A4"/>
      <c r="B4"/>
      <c r="C4"/>
      <c r="D4"/>
      <c r="E4"/>
      <c r="F4"/>
      <c r="G4"/>
      <c r="H4"/>
      <c r="I4"/>
      <c r="J4"/>
      <c r="K4"/>
      <c r="L4"/>
      <c r="M4"/>
      <c r="N4"/>
      <c r="O4"/>
      <c r="P4"/>
      <c r="Q4"/>
      <c r="R4"/>
      <c r="S4"/>
      <c r="T4"/>
      <c r="U4"/>
      <c r="V4"/>
      <c r="W4"/>
      <c r="X4"/>
      <c r="Y4"/>
      <c r="Z4"/>
      <c r="AA4"/>
      <c r="AB4"/>
    </row>
    <row r="5" spans="1:28" x14ac:dyDescent="0.25">
      <c r="A5"/>
      <c r="B5"/>
      <c r="C5"/>
      <c r="D5"/>
      <c r="E5"/>
      <c r="F5"/>
      <c r="G5"/>
      <c r="H5"/>
      <c r="I5"/>
      <c r="J5"/>
      <c r="K5"/>
      <c r="L5"/>
      <c r="M5"/>
      <c r="N5"/>
      <c r="O5"/>
      <c r="P5"/>
      <c r="Q5"/>
      <c r="R5"/>
      <c r="S5"/>
      <c r="T5"/>
      <c r="U5"/>
      <c r="V5"/>
      <c r="W5"/>
      <c r="X5"/>
      <c r="Y5"/>
      <c r="Z5"/>
      <c r="AA5"/>
      <c r="AB5"/>
    </row>
    <row r="6" spans="1:28" ht="15" customHeight="1" x14ac:dyDescent="0.25">
      <c r="A6"/>
      <c r="B6" s="248" t="s">
        <v>207</v>
      </c>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row>
    <row r="7" spans="1:28" ht="15" customHeight="1" x14ac:dyDescent="0.25">
      <c r="A7"/>
      <c r="B7" s="248"/>
      <c r="C7" s="248"/>
      <c r="D7" s="248"/>
      <c r="E7" s="248"/>
      <c r="F7" s="248"/>
      <c r="G7" s="248"/>
      <c r="H7" s="248"/>
      <c r="I7" s="248"/>
      <c r="J7" s="248"/>
      <c r="K7" s="248"/>
      <c r="L7" s="248"/>
      <c r="M7" s="248"/>
      <c r="N7" s="248"/>
      <c r="O7" s="248"/>
      <c r="P7" s="248"/>
      <c r="Q7" s="248"/>
      <c r="R7" s="248"/>
      <c r="S7" s="248"/>
      <c r="T7" s="248"/>
      <c r="U7" s="248"/>
      <c r="V7" s="248"/>
      <c r="W7" s="248"/>
      <c r="X7" s="248"/>
      <c r="Y7" s="248"/>
      <c r="Z7" s="248"/>
      <c r="AA7" s="248"/>
      <c r="AB7" s="248"/>
    </row>
    <row r="8" spans="1:28" ht="18.75" customHeight="1" x14ac:dyDescent="0.25">
      <c r="A8"/>
      <c r="B8" s="249" t="s">
        <v>214</v>
      </c>
      <c r="C8" s="249"/>
      <c r="D8" s="249"/>
      <c r="E8" s="249"/>
      <c r="F8" s="249"/>
      <c r="G8" s="249"/>
      <c r="H8" s="249"/>
      <c r="I8" s="249"/>
      <c r="J8" s="249"/>
      <c r="K8" s="249"/>
      <c r="L8" s="249"/>
      <c r="M8" s="249"/>
      <c r="N8" s="249"/>
      <c r="O8" s="249"/>
      <c r="P8" s="249"/>
      <c r="Q8" s="249"/>
      <c r="R8" s="249"/>
      <c r="S8" s="249"/>
      <c r="T8" s="249"/>
      <c r="U8" s="249"/>
      <c r="V8" s="249"/>
      <c r="W8" s="249"/>
      <c r="X8" s="249"/>
      <c r="Y8" s="249"/>
      <c r="Z8" s="225"/>
      <c r="AA8" s="225"/>
      <c r="AB8" s="225"/>
    </row>
    <row r="9" spans="1:28" ht="18.75" customHeight="1" x14ac:dyDescent="0.25">
      <c r="A9"/>
      <c r="B9" s="249"/>
      <c r="C9" s="249"/>
      <c r="D9" s="249"/>
      <c r="E9" s="249"/>
      <c r="F9" s="249"/>
      <c r="G9" s="249"/>
      <c r="H9" s="249"/>
      <c r="I9" s="249"/>
      <c r="J9" s="249"/>
      <c r="K9" s="249"/>
      <c r="L9" s="249"/>
      <c r="M9" s="249"/>
      <c r="N9" s="249"/>
      <c r="O9" s="249"/>
      <c r="P9" s="249"/>
      <c r="Q9" s="249"/>
      <c r="R9" s="249"/>
      <c r="S9" s="249"/>
      <c r="T9" s="249"/>
      <c r="U9" s="249"/>
      <c r="V9" s="249"/>
      <c r="W9" s="249"/>
      <c r="X9" s="249"/>
      <c r="Y9" s="249"/>
      <c r="Z9" s="225"/>
      <c r="AA9" s="225"/>
      <c r="AB9" s="225"/>
    </row>
    <row r="10" spans="1:28" ht="18.75" x14ac:dyDescent="0.3">
      <c r="A10"/>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row>
    <row r="11" spans="1:28" ht="15" customHeight="1" x14ac:dyDescent="0.25">
      <c r="A11"/>
      <c r="B11" s="227" t="s">
        <v>215</v>
      </c>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c r="AB11" s="225"/>
    </row>
    <row r="12" spans="1:28" ht="18" customHeight="1" x14ac:dyDescent="0.25">
      <c r="A12"/>
      <c r="B12" s="225"/>
      <c r="C12" s="228" t="s">
        <v>208</v>
      </c>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row>
    <row r="13" spans="1:28" ht="18.75" customHeight="1" x14ac:dyDescent="0.25">
      <c r="A13"/>
      <c r="B13" s="225"/>
      <c r="C13" s="228" t="s">
        <v>212</v>
      </c>
      <c r="D13" s="227"/>
      <c r="E13" s="227"/>
      <c r="F13" s="227"/>
      <c r="G13" s="227"/>
      <c r="H13" s="227"/>
      <c r="I13" s="227"/>
      <c r="J13" s="227"/>
      <c r="K13" s="227"/>
      <c r="L13" s="227"/>
      <c r="M13" s="227"/>
      <c r="N13" s="227"/>
      <c r="O13" s="227"/>
      <c r="P13" s="227"/>
      <c r="Q13" s="227"/>
      <c r="R13" s="227"/>
      <c r="S13" s="227"/>
      <c r="T13" s="227"/>
      <c r="U13" s="227"/>
      <c r="V13" s="227"/>
      <c r="W13" s="227"/>
      <c r="X13" s="227"/>
      <c r="Y13" s="227"/>
      <c r="Z13" s="227"/>
      <c r="AA13" s="227"/>
      <c r="AB13" s="225"/>
    </row>
    <row r="14" spans="1:28" ht="18.75" x14ac:dyDescent="0.3">
      <c r="A14"/>
      <c r="B14" s="144"/>
      <c r="C14" s="228" t="s">
        <v>209</v>
      </c>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row>
    <row r="15" spans="1:28" ht="21" customHeight="1" x14ac:dyDescent="0.25">
      <c r="A15"/>
      <c r="B15" s="225"/>
      <c r="C15" s="228" t="s">
        <v>210</v>
      </c>
      <c r="D15" s="225"/>
      <c r="E15" s="225"/>
      <c r="F15" s="225"/>
      <c r="G15" s="225"/>
      <c r="H15" s="225"/>
      <c r="I15" s="225"/>
      <c r="J15" s="225"/>
      <c r="K15" s="225"/>
      <c r="L15" s="225"/>
      <c r="M15" s="225"/>
      <c r="N15" s="225"/>
      <c r="O15" s="225"/>
      <c r="P15" s="225"/>
      <c r="Q15" s="225"/>
      <c r="R15" s="225"/>
      <c r="S15" s="225"/>
      <c r="T15" s="225"/>
      <c r="U15" s="225"/>
      <c r="V15" s="225"/>
      <c r="W15" s="225"/>
      <c r="X15" s="225"/>
      <c r="Y15" s="225"/>
      <c r="Z15" s="225"/>
      <c r="AA15" s="225"/>
      <c r="AB15" s="225"/>
    </row>
    <row r="16" spans="1:28" ht="15.75" customHeight="1" x14ac:dyDescent="0.25">
      <c r="A16"/>
      <c r="B16" s="225"/>
      <c r="C16" s="228" t="s">
        <v>211</v>
      </c>
      <c r="D16" s="225"/>
      <c r="E16" s="225"/>
      <c r="F16" s="225"/>
      <c r="G16" s="225"/>
      <c r="H16" s="225"/>
      <c r="I16" s="225"/>
      <c r="J16" s="225"/>
      <c r="K16" s="225"/>
      <c r="L16" s="225"/>
      <c r="M16" s="225"/>
      <c r="N16" s="225"/>
      <c r="O16" s="225"/>
      <c r="P16" s="225"/>
      <c r="Q16" s="225"/>
      <c r="R16" s="225"/>
      <c r="S16" s="225"/>
      <c r="T16" s="225"/>
      <c r="U16" s="225"/>
      <c r="V16" s="225"/>
      <c r="W16" s="225"/>
      <c r="X16" s="225"/>
      <c r="Y16" s="225"/>
      <c r="Z16" s="225"/>
      <c r="AA16" s="225"/>
      <c r="AB16" s="225"/>
    </row>
    <row r="17" spans="1:28" ht="18.75" customHeight="1" x14ac:dyDescent="0.25">
      <c r="A17"/>
      <c r="B17" s="225"/>
      <c r="C17" s="228" t="s">
        <v>216</v>
      </c>
      <c r="D17" s="225"/>
      <c r="E17" s="225"/>
      <c r="F17" s="225"/>
      <c r="G17" s="225"/>
      <c r="H17" s="225"/>
      <c r="I17" s="225"/>
      <c r="J17" s="225"/>
      <c r="K17" s="225"/>
      <c r="L17" s="225"/>
      <c r="M17" s="225"/>
      <c r="N17" s="225"/>
      <c r="O17" s="225"/>
      <c r="P17" s="225"/>
      <c r="Q17" s="225"/>
      <c r="R17" s="225"/>
      <c r="S17" s="225"/>
      <c r="T17" s="225"/>
      <c r="U17" s="225"/>
      <c r="V17" s="225"/>
      <c r="W17" s="225"/>
      <c r="X17" s="225"/>
      <c r="Y17" s="225"/>
      <c r="Z17" s="225"/>
      <c r="AA17" s="225"/>
      <c r="AB17" s="225"/>
    </row>
    <row r="18" spans="1:28" ht="18.75" x14ac:dyDescent="0.3">
      <c r="A18"/>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row>
    <row r="19" spans="1:28" ht="18.75" customHeight="1" x14ac:dyDescent="0.3">
      <c r="A19"/>
      <c r="B19" s="144" t="s">
        <v>217</v>
      </c>
      <c r="C19" s="144"/>
      <c r="D19" s="144"/>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row>
    <row r="20" spans="1:28" ht="18.75" customHeight="1" x14ac:dyDescent="0.3">
      <c r="A20"/>
      <c r="B20" s="144"/>
      <c r="C20" s="226" t="s">
        <v>218</v>
      </c>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row>
    <row r="21" spans="1:28" ht="18.75" customHeight="1" x14ac:dyDescent="0.3">
      <c r="A21"/>
      <c r="B21"/>
      <c r="C21" s="226" t="s">
        <v>219</v>
      </c>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row>
    <row r="22" spans="1:28" ht="18.75" x14ac:dyDescent="0.3">
      <c r="A22"/>
      <c r="B22"/>
      <c r="C22" s="226" t="s">
        <v>220</v>
      </c>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row>
    <row r="23" spans="1:28" ht="18.75" x14ac:dyDescent="0.3">
      <c r="A23"/>
      <c r="B23"/>
      <c r="C23" s="226" t="s">
        <v>221</v>
      </c>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row>
    <row r="24" spans="1:28" ht="18.75" x14ac:dyDescent="0.3">
      <c r="A24"/>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row>
    <row r="25" spans="1:28" x14ac:dyDescent="0.25">
      <c r="A25"/>
      <c r="B25" s="247" t="s">
        <v>213</v>
      </c>
      <c r="C25" s="247"/>
      <c r="D25" s="247"/>
      <c r="E25" s="247"/>
      <c r="F25" s="247"/>
      <c r="G25" s="247"/>
      <c r="H25" s="247"/>
      <c r="I25" s="247"/>
      <c r="J25" s="247"/>
      <c r="K25" s="247"/>
      <c r="L25" s="247"/>
      <c r="M25" s="247"/>
      <c r="N25" s="247"/>
      <c r="O25" s="247"/>
      <c r="P25" s="247"/>
      <c r="Q25" s="247"/>
      <c r="R25" s="247"/>
      <c r="S25" s="247"/>
      <c r="T25" s="247"/>
      <c r="U25" s="247"/>
      <c r="V25" s="247"/>
      <c r="W25" s="247"/>
      <c r="X25" s="247"/>
      <c r="Y25" s="247"/>
      <c r="Z25" s="247"/>
      <c r="AA25"/>
      <c r="AB25"/>
    </row>
    <row r="26" spans="1:28" ht="24" customHeight="1" x14ac:dyDescent="0.25">
      <c r="A26"/>
      <c r="B26" s="247"/>
      <c r="C26" s="247"/>
      <c r="D26" s="247"/>
      <c r="E26" s="247"/>
      <c r="F26" s="247"/>
      <c r="G26" s="247"/>
      <c r="H26" s="247"/>
      <c r="I26" s="247"/>
      <c r="J26" s="247"/>
      <c r="K26" s="247"/>
      <c r="L26" s="247"/>
      <c r="M26" s="247"/>
      <c r="N26" s="247"/>
      <c r="O26" s="247"/>
      <c r="P26" s="247"/>
      <c r="Q26" s="247"/>
      <c r="R26" s="247"/>
      <c r="S26" s="247"/>
      <c r="T26" s="247"/>
      <c r="U26" s="247"/>
      <c r="V26" s="247"/>
      <c r="W26" s="247"/>
      <c r="X26" s="247"/>
      <c r="Y26" s="247"/>
      <c r="Z26" s="247"/>
      <c r="AA26"/>
      <c r="AB26"/>
    </row>
    <row r="27" spans="1:28" ht="15" customHeight="1" x14ac:dyDescent="0.25">
      <c r="A27"/>
      <c r="B27" s="247"/>
      <c r="C27" s="247"/>
      <c r="D27" s="247"/>
      <c r="E27" s="247"/>
      <c r="F27" s="247"/>
      <c r="G27" s="247"/>
      <c r="H27" s="247"/>
      <c r="I27" s="247"/>
      <c r="J27" s="247"/>
      <c r="K27" s="247"/>
      <c r="L27" s="247"/>
      <c r="M27" s="247"/>
      <c r="N27" s="247"/>
      <c r="O27" s="247"/>
      <c r="P27" s="247"/>
      <c r="Q27" s="247"/>
      <c r="R27" s="247"/>
      <c r="S27" s="247"/>
      <c r="T27" s="247"/>
      <c r="U27" s="247"/>
      <c r="V27" s="247"/>
      <c r="W27" s="247"/>
      <c r="X27" s="247"/>
      <c r="Y27" s="247"/>
      <c r="Z27" s="247"/>
      <c r="AA27"/>
      <c r="AB27"/>
    </row>
    <row r="28" spans="1:28" x14ac:dyDescent="0.25">
      <c r="A28"/>
      <c r="B28"/>
      <c r="C28"/>
      <c r="D28"/>
      <c r="E28"/>
      <c r="F28"/>
      <c r="G28"/>
      <c r="H28"/>
      <c r="I28"/>
      <c r="J28"/>
      <c r="K28"/>
      <c r="L28"/>
      <c r="M28"/>
      <c r="N28"/>
      <c r="O28"/>
      <c r="P28"/>
      <c r="Q28"/>
      <c r="R28"/>
      <c r="S28"/>
      <c r="T28"/>
      <c r="U28"/>
      <c r="V28"/>
      <c r="W28"/>
      <c r="X28"/>
      <c r="Y28"/>
      <c r="Z28"/>
      <c r="AA28"/>
      <c r="AB28"/>
    </row>
    <row r="29" spans="1:28" ht="18.75" x14ac:dyDescent="0.3">
      <c r="A29"/>
      <c r="B29" s="144" t="s">
        <v>200</v>
      </c>
      <c r="C29"/>
      <c r="D29"/>
      <c r="E29"/>
      <c r="F29"/>
      <c r="G29"/>
      <c r="H29"/>
      <c r="I29"/>
      <c r="J29"/>
      <c r="K29"/>
      <c r="L29"/>
      <c r="M29"/>
      <c r="N29"/>
      <c r="O29"/>
      <c r="P29"/>
      <c r="Q29"/>
      <c r="R29"/>
      <c r="S29"/>
      <c r="T29"/>
      <c r="U29"/>
      <c r="V29"/>
      <c r="W29"/>
      <c r="X29"/>
      <c r="Y29"/>
      <c r="Z29"/>
      <c r="AA29"/>
      <c r="AB29"/>
    </row>
    <row r="30" spans="1:28" ht="18.75" x14ac:dyDescent="0.3">
      <c r="A30"/>
      <c r="B30"/>
      <c r="C30" s="226" t="s">
        <v>201</v>
      </c>
      <c r="D30"/>
      <c r="E30"/>
      <c r="F30"/>
      <c r="G30"/>
      <c r="H30"/>
      <c r="I30"/>
      <c r="J30"/>
      <c r="K30"/>
      <c r="L30"/>
      <c r="M30"/>
      <c r="N30"/>
      <c r="O30"/>
      <c r="P30"/>
      <c r="Q30"/>
      <c r="R30"/>
      <c r="S30"/>
      <c r="T30"/>
      <c r="U30"/>
      <c r="V30"/>
      <c r="W30"/>
      <c r="X30"/>
      <c r="Y30"/>
      <c r="Z30"/>
      <c r="AA30"/>
      <c r="AB30"/>
    </row>
    <row r="31" spans="1:28" ht="18.75" x14ac:dyDescent="0.3">
      <c r="A31"/>
      <c r="B31"/>
      <c r="C31" s="226" t="s">
        <v>202</v>
      </c>
      <c r="D31"/>
      <c r="E31"/>
      <c r="F31"/>
      <c r="G31"/>
      <c r="H31"/>
      <c r="I31"/>
      <c r="J31"/>
      <c r="K31"/>
      <c r="L31"/>
      <c r="M31"/>
      <c r="N31"/>
      <c r="O31"/>
      <c r="P31"/>
      <c r="Q31"/>
      <c r="R31"/>
      <c r="S31"/>
      <c r="T31"/>
      <c r="U31"/>
      <c r="V31"/>
      <c r="W31"/>
      <c r="X31"/>
      <c r="Y31"/>
      <c r="Z31"/>
      <c r="AA31"/>
      <c r="AB31"/>
    </row>
    <row r="32" spans="1:28" ht="18.75" x14ac:dyDescent="0.3">
      <c r="A32"/>
      <c r="B32"/>
      <c r="C32" s="226" t="s">
        <v>203</v>
      </c>
      <c r="D32"/>
      <c r="E32"/>
      <c r="F32"/>
      <c r="G32"/>
      <c r="H32"/>
      <c r="I32"/>
      <c r="J32"/>
      <c r="K32"/>
      <c r="L32"/>
      <c r="M32"/>
      <c r="N32"/>
      <c r="O32"/>
      <c r="P32"/>
      <c r="Q32"/>
      <c r="R32"/>
      <c r="S32"/>
      <c r="T32"/>
      <c r="U32"/>
      <c r="V32"/>
      <c r="W32"/>
      <c r="X32"/>
      <c r="Y32"/>
      <c r="Z32"/>
      <c r="AA32"/>
      <c r="AB32"/>
    </row>
    <row r="33" spans="1:28" ht="18.75" x14ac:dyDescent="0.3">
      <c r="A33"/>
      <c r="B33"/>
      <c r="C33" s="226" t="s">
        <v>204</v>
      </c>
      <c r="D33"/>
      <c r="E33"/>
      <c r="F33"/>
      <c r="G33"/>
      <c r="H33"/>
      <c r="I33"/>
      <c r="J33"/>
      <c r="K33"/>
      <c r="L33"/>
      <c r="M33"/>
      <c r="N33"/>
      <c r="O33"/>
      <c r="P33"/>
      <c r="Q33"/>
      <c r="R33"/>
      <c r="S33"/>
      <c r="T33"/>
      <c r="U33"/>
      <c r="V33"/>
      <c r="W33"/>
      <c r="X33"/>
      <c r="Y33"/>
      <c r="Z33"/>
      <c r="AA33"/>
      <c r="AB33"/>
    </row>
    <row r="34" spans="1:28" ht="18.75" x14ac:dyDescent="0.3">
      <c r="A34"/>
      <c r="B34"/>
      <c r="C34" s="226" t="s">
        <v>205</v>
      </c>
      <c r="D34"/>
      <c r="E34"/>
      <c r="F34"/>
      <c r="G34"/>
      <c r="H34"/>
      <c r="I34"/>
      <c r="J34"/>
      <c r="K34"/>
      <c r="L34"/>
      <c r="M34"/>
      <c r="N34"/>
      <c r="O34"/>
      <c r="P34"/>
      <c r="Q34"/>
      <c r="R34"/>
      <c r="S34"/>
      <c r="T34"/>
      <c r="U34"/>
      <c r="V34"/>
      <c r="W34"/>
      <c r="X34"/>
      <c r="Y34"/>
      <c r="Z34"/>
      <c r="AA34"/>
      <c r="AB34"/>
    </row>
    <row r="35" spans="1:28" ht="18.75" x14ac:dyDescent="0.3">
      <c r="A35"/>
      <c r="B35"/>
      <c r="C35" s="226" t="s">
        <v>206</v>
      </c>
      <c r="D35"/>
      <c r="E35"/>
      <c r="F35"/>
      <c r="G35"/>
      <c r="H35"/>
      <c r="I35"/>
      <c r="J35"/>
      <c r="K35"/>
      <c r="L35"/>
      <c r="M35"/>
      <c r="N35"/>
      <c r="O35"/>
      <c r="P35"/>
      <c r="Q35"/>
      <c r="R35"/>
      <c r="S35"/>
      <c r="T35"/>
      <c r="U35"/>
      <c r="V35"/>
      <c r="W35"/>
      <c r="X35"/>
      <c r="Y35"/>
      <c r="Z35"/>
      <c r="AA35"/>
      <c r="AB35"/>
    </row>
    <row r="36" spans="1:28" x14ac:dyDescent="0.25">
      <c r="A36"/>
      <c r="B36"/>
      <c r="C36"/>
      <c r="D36"/>
      <c r="E36"/>
      <c r="F36"/>
      <c r="G36"/>
      <c r="H36"/>
      <c r="I36"/>
      <c r="J36"/>
      <c r="K36"/>
      <c r="L36"/>
      <c r="M36"/>
      <c r="N36"/>
      <c r="O36"/>
      <c r="P36"/>
      <c r="Q36"/>
      <c r="R36"/>
      <c r="S36"/>
      <c r="T36"/>
      <c r="U36"/>
      <c r="V36"/>
      <c r="W36"/>
      <c r="X36"/>
      <c r="Y36"/>
      <c r="Z36"/>
      <c r="AA36"/>
      <c r="AB36"/>
    </row>
    <row r="37" spans="1:28" x14ac:dyDescent="0.25">
      <c r="A37"/>
      <c r="B37"/>
      <c r="C37"/>
      <c r="D37"/>
      <c r="E37"/>
      <c r="F37"/>
      <c r="G37"/>
      <c r="H37"/>
      <c r="I37"/>
      <c r="J37"/>
      <c r="K37"/>
      <c r="L37"/>
      <c r="M37"/>
      <c r="N37"/>
      <c r="O37"/>
      <c r="P37"/>
      <c r="Q37"/>
      <c r="R37"/>
      <c r="S37"/>
      <c r="T37"/>
      <c r="U37"/>
      <c r="V37"/>
      <c r="W37"/>
      <c r="X37"/>
      <c r="Y37"/>
      <c r="Z37"/>
      <c r="AA37"/>
      <c r="AB37"/>
    </row>
    <row r="38" spans="1:28" x14ac:dyDescent="0.25">
      <c r="A38"/>
      <c r="B38"/>
      <c r="C38"/>
      <c r="D38"/>
      <c r="E38"/>
      <c r="F38"/>
      <c r="G38"/>
      <c r="H38"/>
      <c r="I38"/>
      <c r="J38"/>
      <c r="K38"/>
      <c r="L38"/>
      <c r="M38"/>
      <c r="N38"/>
      <c r="O38"/>
      <c r="P38"/>
      <c r="Q38"/>
      <c r="R38"/>
      <c r="S38"/>
      <c r="T38"/>
      <c r="U38"/>
      <c r="V38"/>
      <c r="W38"/>
      <c r="X38"/>
      <c r="Y38"/>
      <c r="Z38"/>
      <c r="AA38"/>
      <c r="AB38"/>
    </row>
  </sheetData>
  <mergeCells count="3">
    <mergeCell ref="B25:Z27"/>
    <mergeCell ref="B6:AB7"/>
    <mergeCell ref="B8:Y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5"/>
  <sheetViews>
    <sheetView showGridLines="0" zoomScale="70" zoomScaleNormal="70" workbookViewId="0">
      <selection activeCell="E40" sqref="E40"/>
    </sheetView>
  </sheetViews>
  <sheetFormatPr defaultColWidth="9.140625" defaultRowHeight="15" x14ac:dyDescent="0.25"/>
  <cols>
    <col min="1" max="1" width="9.140625" style="37"/>
    <col min="2" max="2" width="31.7109375" style="37" customWidth="1"/>
    <col min="3" max="3" width="18.28515625" style="37" customWidth="1"/>
    <col min="4" max="4" width="31" style="37" customWidth="1"/>
    <col min="5" max="5" width="23" style="37" customWidth="1"/>
    <col min="6" max="6" width="21.85546875" style="37" customWidth="1"/>
    <col min="7" max="7" width="16.28515625" style="37" customWidth="1"/>
    <col min="8" max="8" width="16" style="37" customWidth="1"/>
    <col min="9" max="12" width="9.140625" style="37"/>
    <col min="13" max="13" width="11.140625" style="37" customWidth="1"/>
    <col min="14" max="14" width="9.140625" style="37"/>
    <col min="15" max="15" width="10.5703125" style="37" bestFit="1" customWidth="1"/>
    <col min="16" max="16" width="13.42578125" style="37" customWidth="1"/>
    <col min="17" max="17" width="12.140625" style="37" customWidth="1"/>
    <col min="18" max="16384" width="9.140625" style="37"/>
  </cols>
  <sheetData>
    <row r="1" spans="1:18" ht="21" x14ac:dyDescent="0.35">
      <c r="A1" s="82" t="s">
        <v>172</v>
      </c>
      <c r="B1"/>
      <c r="C1"/>
      <c r="D1"/>
      <c r="E1"/>
      <c r="F1"/>
      <c r="G1"/>
      <c r="H1"/>
      <c r="I1"/>
      <c r="J1"/>
      <c r="K1"/>
      <c r="L1"/>
      <c r="M1"/>
      <c r="N1"/>
      <c r="O1"/>
      <c r="P1"/>
      <c r="Q1"/>
      <c r="R1"/>
    </row>
    <row r="2" spans="1:18" ht="18.75" x14ac:dyDescent="0.3">
      <c r="A2" s="83" t="s">
        <v>170</v>
      </c>
      <c r="B2"/>
      <c r="C2"/>
      <c r="D2"/>
      <c r="E2"/>
      <c r="F2"/>
      <c r="G2"/>
      <c r="H2"/>
      <c r="I2"/>
      <c r="J2"/>
      <c r="K2"/>
      <c r="L2"/>
      <c r="M2"/>
      <c r="N2"/>
      <c r="O2"/>
      <c r="P2"/>
      <c r="Q2"/>
      <c r="R2"/>
    </row>
    <row r="3" spans="1:18" ht="18.75" x14ac:dyDescent="0.3">
      <c r="A3" s="84" t="s">
        <v>171</v>
      </c>
      <c r="B3"/>
      <c r="C3"/>
      <c r="D3"/>
      <c r="E3"/>
      <c r="F3"/>
      <c r="G3"/>
      <c r="H3"/>
      <c r="I3"/>
      <c r="J3"/>
      <c r="K3"/>
      <c r="L3"/>
      <c r="M3"/>
      <c r="N3"/>
      <c r="O3"/>
      <c r="P3"/>
      <c r="Q3"/>
      <c r="R3"/>
    </row>
    <row r="4" spans="1:18" ht="15.75" thickBot="1" x14ac:dyDescent="0.3">
      <c r="A4"/>
      <c r="B4"/>
      <c r="C4"/>
      <c r="D4"/>
      <c r="E4"/>
      <c r="F4"/>
      <c r="G4"/>
      <c r="H4"/>
      <c r="I4"/>
      <c r="J4"/>
      <c r="K4"/>
      <c r="L4"/>
      <c r="M4"/>
      <c r="N4"/>
      <c r="O4"/>
      <c r="P4"/>
      <c r="Q4"/>
      <c r="R4"/>
    </row>
    <row r="5" spans="1:18" ht="15.75" thickBot="1" x14ac:dyDescent="0.3">
      <c r="A5"/>
      <c r="B5" s="38" t="s">
        <v>107</v>
      </c>
      <c r="C5"/>
      <c r="D5"/>
      <c r="E5"/>
      <c r="F5"/>
      <c r="G5"/>
      <c r="H5"/>
      <c r="I5"/>
      <c r="J5"/>
      <c r="K5"/>
      <c r="L5"/>
      <c r="M5"/>
      <c r="N5" s="273" t="s">
        <v>114</v>
      </c>
      <c r="O5" s="273"/>
      <c r="P5" s="273" t="s">
        <v>174</v>
      </c>
      <c r="Q5" s="273"/>
      <c r="R5"/>
    </row>
    <row r="6" spans="1:18" ht="15.75" customHeight="1" thickBot="1" x14ac:dyDescent="0.3">
      <c r="A6"/>
      <c r="B6" s="271" t="s">
        <v>108</v>
      </c>
      <c r="C6" s="271" t="s">
        <v>0</v>
      </c>
      <c r="D6" s="271" t="s">
        <v>112</v>
      </c>
      <c r="E6" s="271" t="s">
        <v>111</v>
      </c>
      <c r="F6" s="271" t="s">
        <v>1</v>
      </c>
      <c r="G6" s="271" t="s">
        <v>109</v>
      </c>
      <c r="H6" s="271" t="s">
        <v>110</v>
      </c>
      <c r="I6" s="271" t="s">
        <v>113</v>
      </c>
      <c r="J6" s="271" t="s">
        <v>2</v>
      </c>
      <c r="K6" s="271" t="s">
        <v>3</v>
      </c>
      <c r="L6" s="271" t="s">
        <v>4</v>
      </c>
      <c r="M6" s="278" t="s">
        <v>5</v>
      </c>
      <c r="N6" s="273"/>
      <c r="O6" s="273"/>
      <c r="P6" s="273"/>
      <c r="Q6" s="273"/>
      <c r="R6"/>
    </row>
    <row r="7" spans="1:18" ht="15.75" thickBot="1" x14ac:dyDescent="0.3">
      <c r="A7"/>
      <c r="B7" s="272"/>
      <c r="C7" s="272"/>
      <c r="D7" s="272"/>
      <c r="E7" s="272"/>
      <c r="F7" s="272"/>
      <c r="G7" s="272"/>
      <c r="H7" s="272"/>
      <c r="I7" s="272"/>
      <c r="J7" s="272"/>
      <c r="K7" s="272"/>
      <c r="L7" s="272"/>
      <c r="M7" s="272"/>
      <c r="N7" s="96" t="s">
        <v>115</v>
      </c>
      <c r="O7" s="96" t="s">
        <v>116</v>
      </c>
      <c r="P7" s="96" t="s">
        <v>115</v>
      </c>
      <c r="Q7" s="96" t="s">
        <v>116</v>
      </c>
      <c r="R7"/>
    </row>
    <row r="8" spans="1:18" ht="24" thickBot="1" x14ac:dyDescent="0.3">
      <c r="A8"/>
      <c r="B8" s="274" t="s">
        <v>6</v>
      </c>
      <c r="C8" s="275"/>
      <c r="D8" s="275"/>
      <c r="E8" s="275"/>
      <c r="F8" s="275"/>
      <c r="G8" s="283"/>
      <c r="H8" s="284"/>
      <c r="I8" s="40">
        <v>0.1</v>
      </c>
      <c r="J8" s="40">
        <v>0.15</v>
      </c>
      <c r="K8" s="40">
        <v>0.2</v>
      </c>
      <c r="L8" s="40">
        <v>0.25</v>
      </c>
      <c r="M8" s="40">
        <v>0.3</v>
      </c>
      <c r="N8" s="281"/>
      <c r="O8" s="282"/>
      <c r="P8" s="279"/>
      <c r="Q8" s="280"/>
      <c r="R8"/>
    </row>
    <row r="9" spans="1:18" ht="15.75" thickBot="1" x14ac:dyDescent="0.3">
      <c r="A9"/>
      <c r="B9" s="43" t="s">
        <v>167</v>
      </c>
      <c r="C9" s="32">
        <f>'Design Option Curves'!O78</f>
        <v>0.19243986254295534</v>
      </c>
      <c r="D9" s="34">
        <f>'Design Option Curves'!P78</f>
        <v>300</v>
      </c>
      <c r="E9" s="33">
        <f>'Design Option Curves'!Q78</f>
        <v>24</v>
      </c>
      <c r="F9" s="46">
        <f>'Design Option Curves'!S78</f>
        <v>152.55000000000001</v>
      </c>
      <c r="G9" s="86">
        <f>'Design Option Curves'!K79</f>
        <v>897.97572000000002</v>
      </c>
      <c r="H9" s="86">
        <f>'Design Option Curves'!L79</f>
        <v>1122.46965</v>
      </c>
      <c r="I9" s="81">
        <f>'Design Option Curves'!O92</f>
        <v>137.25546946522937</v>
      </c>
      <c r="J9" s="44">
        <f>'Design Option Curves'!P92</f>
        <v>167.33486317436029</v>
      </c>
      <c r="K9" s="44">
        <f>'Design Option Curves'!Q92</f>
        <v>233.28620005878784</v>
      </c>
      <c r="L9" s="44"/>
      <c r="M9" s="44"/>
      <c r="N9" s="32">
        <f>'Design Option Curves'!U92</f>
        <v>0.23858547455953402</v>
      </c>
      <c r="O9" s="42">
        <f>'Design Option Curves'!V92</f>
        <v>460.92933102621174</v>
      </c>
      <c r="P9" s="32">
        <f>'Design Option Curves'!O87</f>
        <v>0.2154482017703632</v>
      </c>
      <c r="Q9" s="42">
        <f>'Design Option Curves'!P87</f>
        <v>442.26560280973911</v>
      </c>
      <c r="R9"/>
    </row>
    <row r="10" spans="1:18" ht="15.75" thickBot="1" x14ac:dyDescent="0.3">
      <c r="A10"/>
      <c r="B10" s="43" t="s">
        <v>165</v>
      </c>
      <c r="C10" s="45">
        <f>'Design Option Curves'!O409</f>
        <v>0.16932907348242807</v>
      </c>
      <c r="D10" s="46">
        <f>'Design Option Curves'!P409</f>
        <v>300</v>
      </c>
      <c r="E10" s="47">
        <f>'Design Option Curves'!Q409</f>
        <v>23.9</v>
      </c>
      <c r="F10" s="46">
        <f>'Design Option Curves'!S409</f>
        <v>193</v>
      </c>
      <c r="G10" s="86">
        <f>'Design Option Curves'!K410</f>
        <v>897.97572000000002</v>
      </c>
      <c r="H10" s="86">
        <f>'Design Option Curves'!L410</f>
        <v>1122.46965</v>
      </c>
      <c r="I10" s="81">
        <f>'Design Option Curves'!O422</f>
        <v>137.25546946522937</v>
      </c>
      <c r="J10" s="44">
        <f>'Design Option Curves'!P422</f>
        <v>144.35829358294046</v>
      </c>
      <c r="K10" s="44">
        <f>'Design Option Curves'!Q422</f>
        <v>405.81056503813045</v>
      </c>
      <c r="L10" s="44"/>
      <c r="M10" s="44"/>
      <c r="N10" s="32">
        <f>'Design Option Curves'!U422</f>
        <v>0.2154482017703632</v>
      </c>
      <c r="O10" s="42">
        <f>'Design Option Curves'!V422</f>
        <v>442.27094213871175</v>
      </c>
      <c r="P10" s="279" t="s">
        <v>173</v>
      </c>
      <c r="Q10" s="280"/>
      <c r="R10"/>
    </row>
    <row r="11" spans="1:18" ht="24" thickBot="1" x14ac:dyDescent="0.3">
      <c r="A11"/>
      <c r="B11" s="43" t="s">
        <v>9</v>
      </c>
      <c r="C11" s="32">
        <f>'Design Option Curves'!O101</f>
        <v>0.14251414851654939</v>
      </c>
      <c r="D11" s="34">
        <f>'Design Option Curves'!P101</f>
        <v>850</v>
      </c>
      <c r="E11" s="33">
        <f>'Design Option Curves'!Q101</f>
        <v>19.7</v>
      </c>
      <c r="F11" s="46">
        <f>'Design Option Curves'!S101</f>
        <v>153</v>
      </c>
      <c r="G11" s="86">
        <f>'Design Option Curves'!K102</f>
        <v>1545.0751599999999</v>
      </c>
      <c r="H11" s="86">
        <f>'Design Option Curves'!L102</f>
        <v>1931.3439499999999</v>
      </c>
      <c r="I11" s="81">
        <f>'Design Option Curves'!O115</f>
        <v>178.50078873530248</v>
      </c>
      <c r="J11" s="44">
        <f>'Design Option Curves'!P115</f>
        <v>293.01122710589101</v>
      </c>
      <c r="K11" s="44"/>
      <c r="L11" s="44"/>
      <c r="M11" s="48"/>
      <c r="N11" s="32">
        <f>'Design Option Curves'!U115</f>
        <v>0.19100584128472822</v>
      </c>
      <c r="O11" s="42">
        <f>'Design Option Curves'!V115</f>
        <v>537.89659218907457</v>
      </c>
      <c r="P11" s="279" t="s">
        <v>173</v>
      </c>
      <c r="Q11" s="280"/>
      <c r="R11"/>
    </row>
    <row r="12" spans="1:18" ht="15.75" thickBot="1" x14ac:dyDescent="0.3">
      <c r="A12"/>
      <c r="B12" s="265" t="s">
        <v>10</v>
      </c>
      <c r="C12" s="45">
        <f>'Design Option Curves'!O124</f>
        <v>0.05</v>
      </c>
      <c r="D12" s="46">
        <f>'Design Option Curves'!P124</f>
        <v>1500</v>
      </c>
      <c r="E12" s="46">
        <f>'Design Option Curves'!Q124</f>
        <v>22.3</v>
      </c>
      <c r="F12" s="46">
        <f>'Design Option Curves'!S124</f>
        <v>162</v>
      </c>
      <c r="G12" s="86">
        <f>'Design Option Curves'!K125</f>
        <v>1708.831059514014</v>
      </c>
      <c r="H12" s="86">
        <f>'Design Option Curves'!L125</f>
        <v>2136.0388243925177</v>
      </c>
      <c r="I12" s="81"/>
      <c r="J12" s="44"/>
      <c r="K12" s="44"/>
      <c r="L12" s="44"/>
      <c r="M12" s="44"/>
      <c r="N12" s="32">
        <f>'Design Option Curves'!U138</f>
        <v>8.32526243712607E-2</v>
      </c>
      <c r="O12" s="42">
        <f>'Design Option Curves'!V138</f>
        <v>417.90177204164434</v>
      </c>
      <c r="P12" s="279" t="s">
        <v>173</v>
      </c>
      <c r="Q12" s="280"/>
      <c r="R12"/>
    </row>
    <row r="13" spans="1:18" ht="24" thickBot="1" x14ac:dyDescent="0.3">
      <c r="A13"/>
      <c r="B13" s="266"/>
      <c r="C13" s="49">
        <f>'Design Option Curves'!O147</f>
        <v>2.5000000000000022E-2</v>
      </c>
      <c r="D13" s="50">
        <f>'Design Option Curves'!P147</f>
        <v>2600</v>
      </c>
      <c r="E13" s="51">
        <f>'Design Option Curves'!Q147</f>
        <v>19.7</v>
      </c>
      <c r="F13" s="92">
        <f>'Design Option Curves'!S147</f>
        <v>174</v>
      </c>
      <c r="G13" s="86">
        <f>'Design Option Curves'!K148</f>
        <v>3747.5210200000001</v>
      </c>
      <c r="H13" s="86">
        <f>'Design Option Curves'!L148</f>
        <v>4684.4012750000002</v>
      </c>
      <c r="I13" s="93"/>
      <c r="J13" s="52"/>
      <c r="K13" s="52"/>
      <c r="L13" s="48"/>
      <c r="M13" s="48"/>
      <c r="N13" s="49">
        <f>'Design Option Curves'!U161</f>
        <v>7.4151880285924926E-2</v>
      </c>
      <c r="O13" s="53">
        <f>'Design Option Curves'!V161</f>
        <v>524.14742229729961</v>
      </c>
      <c r="P13" s="279" t="s">
        <v>173</v>
      </c>
      <c r="Q13" s="280"/>
      <c r="R13"/>
    </row>
    <row r="14" spans="1:18" ht="24" thickBot="1" x14ac:dyDescent="0.3">
      <c r="A14"/>
      <c r="B14" s="274" t="s">
        <v>11</v>
      </c>
      <c r="C14" s="275"/>
      <c r="D14" s="275"/>
      <c r="E14" s="275"/>
      <c r="F14" s="275"/>
      <c r="G14" s="276"/>
      <c r="H14" s="277"/>
      <c r="I14" s="40">
        <v>0.1</v>
      </c>
      <c r="J14" s="40">
        <v>0.15</v>
      </c>
      <c r="K14" s="40">
        <v>0.2</v>
      </c>
      <c r="L14" s="40">
        <v>0.25</v>
      </c>
      <c r="M14" s="40">
        <v>0.3</v>
      </c>
      <c r="N14" s="41"/>
      <c r="O14" s="41"/>
      <c r="P14" s="279"/>
      <c r="Q14" s="280"/>
      <c r="R14"/>
    </row>
    <row r="15" spans="1:18" ht="15.75" thickBot="1" x14ac:dyDescent="0.3">
      <c r="A15"/>
      <c r="B15" s="43" t="s">
        <v>167</v>
      </c>
      <c r="C15" s="54">
        <f>'Design Option Curves'!O9</f>
        <v>0.19270833333333329</v>
      </c>
      <c r="D15" s="55">
        <f>'Design Option Curves'!P9</f>
        <v>300</v>
      </c>
      <c r="E15" s="56">
        <f>'Design Option Curves'!Q9</f>
        <v>25.6</v>
      </c>
      <c r="F15" s="76" t="str">
        <f>'Design Option Curves'!S9</f>
        <v>NA</v>
      </c>
      <c r="G15" s="91">
        <f>'Design Option Curves'!K10</f>
        <v>915.53042000000005</v>
      </c>
      <c r="H15" s="91">
        <f>'Design Option Curves'!L10</f>
        <v>1144.4130250000001</v>
      </c>
      <c r="I15" s="81">
        <f>'Design Option Curves'!O23</f>
        <v>94.341428515035645</v>
      </c>
      <c r="J15" s="44">
        <f>'Design Option Curves'!P23</f>
        <v>134.15616073510017</v>
      </c>
      <c r="K15" s="44">
        <f>'Design Option Curves'!Q23</f>
        <v>173.97089295516471</v>
      </c>
      <c r="L15" s="44">
        <f>'Design Option Curves'!R23</f>
        <v>420.0607587162288</v>
      </c>
      <c r="M15" s="44"/>
      <c r="N15" s="32">
        <f>'Design Option Curves'!U23</f>
        <v>0.2551409941683821</v>
      </c>
      <c r="O15" s="42">
        <f>'Design Option Curves'!V23</f>
        <v>424.15450483940975</v>
      </c>
      <c r="P15" s="32">
        <f>'Design Option Curves'!O18</f>
        <v>0</v>
      </c>
      <c r="Q15" s="42">
        <f>'Design Option Curves'!P18</f>
        <v>14.711964074906589</v>
      </c>
      <c r="R15"/>
    </row>
    <row r="16" spans="1:18" ht="15.75" thickBot="1" x14ac:dyDescent="0.3">
      <c r="A16"/>
      <c r="B16" s="58" t="s">
        <v>165</v>
      </c>
      <c r="C16" s="32">
        <f>'Design Option Curves'!O365</f>
        <v>0.16643119525289618</v>
      </c>
      <c r="D16" s="34">
        <f>'Design Option Curves'!P365</f>
        <v>300</v>
      </c>
      <c r="E16" s="33">
        <f>'Design Option Curves'!Q365</f>
        <v>18.5</v>
      </c>
      <c r="F16" s="87" t="str">
        <f>'Design Option Curves'!S365</f>
        <v>NA</v>
      </c>
      <c r="G16" s="91">
        <f>'Design Option Curves'!K366</f>
        <v>915.53042000000005</v>
      </c>
      <c r="H16" s="91">
        <f>'Design Option Curves'!L366</f>
        <v>1144.4130250000001</v>
      </c>
      <c r="I16" s="81">
        <f>'Design Option Curves'!O378</f>
        <v>101.36852645315787</v>
      </c>
      <c r="J16" s="44">
        <f>'Design Option Curves'!P378</f>
        <v>0</v>
      </c>
      <c r="K16" s="44"/>
      <c r="L16" s="44"/>
      <c r="M16" s="44"/>
      <c r="N16" s="32">
        <f>'Design Option Curves'!U378</f>
        <v>0.1</v>
      </c>
      <c r="O16" s="42">
        <f>'Design Option Curves'!V378</f>
        <v>101.36852645315787</v>
      </c>
      <c r="P16" s="279" t="s">
        <v>173</v>
      </c>
      <c r="Q16" s="280"/>
      <c r="R16"/>
    </row>
    <row r="17" spans="1:18" ht="15.75" thickBot="1" x14ac:dyDescent="0.3">
      <c r="A17"/>
      <c r="B17" s="265" t="s">
        <v>168</v>
      </c>
      <c r="C17" s="59">
        <f>'Design Option Curves'!O32</f>
        <v>0.16129898013955982</v>
      </c>
      <c r="D17" s="60">
        <f>'Design Option Curves'!P32</f>
        <v>800</v>
      </c>
      <c r="E17" s="61">
        <f>'Design Option Curves'!Q32</f>
        <v>22.7</v>
      </c>
      <c r="F17" s="88" t="str">
        <f>'Design Option Curves'!S32</f>
        <v>NA</v>
      </c>
      <c r="G17" s="91">
        <f>'Design Option Curves'!K33</f>
        <v>1493.9904799999999</v>
      </c>
      <c r="H17" s="91">
        <f>'Design Option Curves'!L33</f>
        <v>1867.4881</v>
      </c>
      <c r="I17" s="90">
        <f>'Design Option Curves'!O46</f>
        <v>175.60922285448407</v>
      </c>
      <c r="J17" s="62">
        <f>'Design Option Curves'!P46</f>
        <v>191.68263906019007</v>
      </c>
      <c r="K17" s="62">
        <f>'Design Option Curves'!Q46</f>
        <v>277.9816552535089</v>
      </c>
      <c r="L17" s="62"/>
      <c r="M17" s="62"/>
      <c r="N17" s="59">
        <f>'Design Option Curves'!U46</f>
        <v>0.2340447879722958</v>
      </c>
      <c r="O17" s="63">
        <f>'Design Option Curves'!V46</f>
        <v>508.45441877001502</v>
      </c>
      <c r="P17" s="32">
        <f>'Design Option Curves'!O41</f>
        <v>0.15575878126370496</v>
      </c>
      <c r="Q17" s="42">
        <f>'Design Option Curves'!P41</f>
        <v>202.49598263876027</v>
      </c>
      <c r="R17"/>
    </row>
    <row r="18" spans="1:18" ht="15.75" thickBot="1" x14ac:dyDescent="0.3">
      <c r="A18"/>
      <c r="B18" s="266"/>
      <c r="C18" s="59">
        <f>'Design Option Curves'!O55</f>
        <v>5.9555111989712486E-2</v>
      </c>
      <c r="D18" s="60">
        <f>'Design Option Curves'!P55</f>
        <v>1500</v>
      </c>
      <c r="E18" s="61">
        <f>'Design Option Curves'!Q55</f>
        <v>20</v>
      </c>
      <c r="F18" s="89" t="str">
        <f>'Design Option Curves'!S55</f>
        <v>NA</v>
      </c>
      <c r="G18" s="91">
        <f>'Design Option Curves'!K56</f>
        <v>1651.97272</v>
      </c>
      <c r="H18" s="91">
        <f>'Design Option Curves'!L56</f>
        <v>2064.9659000000001</v>
      </c>
      <c r="I18" s="90">
        <f>'Design Option Curves'!O69</f>
        <v>405.69195288677258</v>
      </c>
      <c r="J18" s="62"/>
      <c r="K18" s="62"/>
      <c r="L18" s="62"/>
      <c r="M18" s="62"/>
      <c r="N18" s="59">
        <f>'Design Option Curves'!U69</f>
        <v>0.11760359678193461</v>
      </c>
      <c r="O18" s="63">
        <f>'Design Option Curves'!V69</f>
        <v>444.74363570190576</v>
      </c>
      <c r="P18" s="279" t="s">
        <v>173</v>
      </c>
      <c r="Q18" s="280"/>
      <c r="R18"/>
    </row>
    <row r="19" spans="1:18" ht="15.75" thickBot="1" x14ac:dyDescent="0.3">
      <c r="A19"/>
      <c r="B19" s="64" t="s">
        <v>166</v>
      </c>
      <c r="C19" s="54">
        <f>'Design Option Curves'!O387</f>
        <v>5.4638679698766117E-2</v>
      </c>
      <c r="D19" s="65">
        <f>'Design Option Curves'!P387</f>
        <v>800</v>
      </c>
      <c r="E19" s="56">
        <f>'Design Option Curves'!Q387</f>
        <v>18</v>
      </c>
      <c r="F19" s="76" t="s">
        <v>12</v>
      </c>
      <c r="G19" s="91">
        <f>'Design Option Curves'!K388</f>
        <v>1493.9904799999999</v>
      </c>
      <c r="H19" s="91">
        <f>'Design Option Curves'!L388</f>
        <v>1867.4881</v>
      </c>
      <c r="I19" s="90">
        <f>'Design Option Curves'!O400</f>
        <v>90.185075196330502</v>
      </c>
      <c r="J19" s="62">
        <f>'Design Option Curves'!P400</f>
        <v>343.01426452149587</v>
      </c>
      <c r="K19" s="62"/>
      <c r="L19" s="62"/>
      <c r="M19" s="62"/>
      <c r="N19" s="59">
        <f>'Design Option Curves'!U400</f>
        <v>0.15575878126370496</v>
      </c>
      <c r="O19" s="63">
        <f>'Design Option Curves'!V400</f>
        <v>351.89944918415102</v>
      </c>
      <c r="P19" s="279" t="s">
        <v>173</v>
      </c>
      <c r="Q19" s="280"/>
      <c r="R19"/>
    </row>
    <row r="20" spans="1:18" ht="30.75" customHeight="1" thickBot="1" x14ac:dyDescent="0.3">
      <c r="A20"/>
      <c r="B20" s="274" t="s">
        <v>118</v>
      </c>
      <c r="C20" s="275"/>
      <c r="D20" s="275"/>
      <c r="E20" s="275"/>
      <c r="F20" s="275"/>
      <c r="G20" s="285"/>
      <c r="H20" s="286"/>
      <c r="I20" s="40">
        <v>0.1</v>
      </c>
      <c r="J20" s="40">
        <v>0.15</v>
      </c>
      <c r="K20" s="40">
        <v>0.2</v>
      </c>
      <c r="L20" s="40">
        <v>0.25</v>
      </c>
      <c r="M20" s="48"/>
      <c r="N20" s="41"/>
      <c r="O20" s="41"/>
      <c r="P20" s="281"/>
      <c r="Q20" s="282"/>
      <c r="R20"/>
    </row>
    <row r="21" spans="1:18" ht="15.75" thickBot="1" x14ac:dyDescent="0.3">
      <c r="A21"/>
      <c r="B21" s="43" t="s">
        <v>8</v>
      </c>
      <c r="C21" s="66"/>
      <c r="D21" s="65">
        <v>700</v>
      </c>
      <c r="E21" s="287" t="s">
        <v>117</v>
      </c>
      <c r="F21" s="288"/>
      <c r="G21" s="289"/>
      <c r="H21" s="289"/>
      <c r="I21" s="288"/>
      <c r="J21" s="288"/>
      <c r="K21" s="288"/>
      <c r="L21" s="288"/>
      <c r="M21" s="288"/>
      <c r="N21" s="288"/>
      <c r="O21" s="288"/>
      <c r="P21" s="288"/>
      <c r="Q21" s="290"/>
      <c r="R21"/>
    </row>
    <row r="22" spans="1:18" ht="24" thickBot="1" x14ac:dyDescent="0.3">
      <c r="A22"/>
      <c r="B22" s="265" t="s">
        <v>10</v>
      </c>
      <c r="C22" s="32">
        <f>'Design Option Curves'!O170</f>
        <v>0.15686274509803919</v>
      </c>
      <c r="D22" s="67">
        <f>'Design Option Curves'!P170</f>
        <v>1500</v>
      </c>
      <c r="E22" s="33">
        <f>'Design Option Curves'!Q170</f>
        <v>20</v>
      </c>
      <c r="F22" s="45" t="str">
        <f>'Design Option Curves'!S170</f>
        <v>NA</v>
      </c>
      <c r="G22" s="86">
        <f>'Design Option Curves'!K171</f>
        <v>1970.43208</v>
      </c>
      <c r="H22" s="86">
        <f>'Design Option Curves'!L171</f>
        <v>2463.0401000000002</v>
      </c>
      <c r="I22" s="81">
        <f>'Design Option Curves'!O183</f>
        <v>139.16911073667885</v>
      </c>
      <c r="J22" s="44">
        <f>'Design Option Curves'!P183</f>
        <v>220.37406441941329</v>
      </c>
      <c r="K22" s="44">
        <f>'Design Option Curves'!Q183</f>
        <v>553.84125627105391</v>
      </c>
      <c r="L22" s="48"/>
      <c r="M22" s="48"/>
      <c r="N22" s="32">
        <f>'Design Option Curves'!U183</f>
        <v>0.21664643093004216</v>
      </c>
      <c r="O22" s="42">
        <f>'Design Option Curves'!V183</f>
        <v>594.87299971144068</v>
      </c>
      <c r="P22" s="279" t="s">
        <v>173</v>
      </c>
      <c r="Q22" s="280"/>
      <c r="R22"/>
    </row>
    <row r="23" spans="1:18" ht="24" thickBot="1" x14ac:dyDescent="0.3">
      <c r="A23"/>
      <c r="B23" s="266"/>
      <c r="C23" s="32">
        <f>'Design Option Curves'!O192</f>
        <v>0.14899999999999999</v>
      </c>
      <c r="D23" s="67">
        <f>'Design Option Curves'!P192</f>
        <v>2400</v>
      </c>
      <c r="E23" s="67">
        <f>'Design Option Curves'!Q192</f>
        <v>19.7</v>
      </c>
      <c r="F23" s="45" t="str">
        <f>'Design Option Curves'!S192</f>
        <v>NA</v>
      </c>
      <c r="G23" s="86">
        <f>'Design Option Curves'!K193</f>
        <v>3202.51046</v>
      </c>
      <c r="H23" s="86">
        <f>'Design Option Curves'!L193</f>
        <v>4003.1380749999998</v>
      </c>
      <c r="I23" s="81">
        <f>'Design Option Curves'!O205</f>
        <v>161.99988242078621</v>
      </c>
      <c r="J23" s="44">
        <f>'Design Option Curves'!P205</f>
        <v>276.81878408707479</v>
      </c>
      <c r="K23" s="44">
        <f>'Design Option Curves'!Q205</f>
        <v>814.08492795623124</v>
      </c>
      <c r="L23" s="48"/>
      <c r="M23" s="48"/>
      <c r="N23" s="32">
        <f>'Design Option Curves'!U205</f>
        <v>0.21193126186514613</v>
      </c>
      <c r="O23" s="42">
        <f>'Design Option Curves'!V205</f>
        <v>858.67005777157033</v>
      </c>
      <c r="P23" s="279" t="s">
        <v>173</v>
      </c>
      <c r="Q23" s="280"/>
      <c r="R23"/>
    </row>
    <row r="24" spans="1:18" ht="24" thickBot="1" x14ac:dyDescent="0.3">
      <c r="A24"/>
      <c r="B24" s="274" t="s">
        <v>13</v>
      </c>
      <c r="C24" s="275"/>
      <c r="D24" s="275"/>
      <c r="E24" s="275"/>
      <c r="F24" s="275"/>
      <c r="G24" s="285"/>
      <c r="H24" s="286"/>
      <c r="I24" s="40">
        <v>0.1</v>
      </c>
      <c r="J24" s="40">
        <v>0.15</v>
      </c>
      <c r="K24" s="40">
        <v>0.2</v>
      </c>
      <c r="L24" s="40">
        <v>0.25</v>
      </c>
      <c r="M24" s="40">
        <v>0.3</v>
      </c>
      <c r="N24" s="41"/>
      <c r="O24" s="41"/>
      <c r="P24" s="279"/>
      <c r="Q24" s="280"/>
      <c r="R24"/>
    </row>
    <row r="25" spans="1:18" ht="15.75" thickBot="1" x14ac:dyDescent="0.3">
      <c r="A25"/>
      <c r="B25" s="43" t="s">
        <v>8</v>
      </c>
      <c r="C25" s="68"/>
      <c r="D25" s="65">
        <v>110</v>
      </c>
      <c r="E25" s="293" t="s">
        <v>117</v>
      </c>
      <c r="F25" s="294"/>
      <c r="G25" s="295"/>
      <c r="H25" s="295"/>
      <c r="I25" s="294"/>
      <c r="J25" s="294"/>
      <c r="K25" s="294"/>
      <c r="L25" s="294"/>
      <c r="M25" s="294"/>
      <c r="N25" s="294"/>
      <c r="O25" s="294"/>
      <c r="P25" s="294"/>
      <c r="Q25" s="296"/>
      <c r="R25"/>
    </row>
    <row r="26" spans="1:18" ht="15.75" thickBot="1" x14ac:dyDescent="0.3">
      <c r="A26"/>
      <c r="B26" s="43" t="s">
        <v>10</v>
      </c>
      <c r="C26" s="32">
        <f>'Design Option Curves'!O258</f>
        <v>0.27631578947368418</v>
      </c>
      <c r="D26" s="34">
        <f>'Design Option Curves'!P258</f>
        <v>300</v>
      </c>
      <c r="E26" s="33">
        <f>'Design Option Curves'!Q258</f>
        <v>30</v>
      </c>
      <c r="F26" s="46">
        <f>'Design Option Curves'!S258</f>
        <v>131.9</v>
      </c>
      <c r="G26" s="86">
        <f>'Design Option Curves'!K259</f>
        <v>1224.31206</v>
      </c>
      <c r="H26" s="86">
        <f>'Design Option Curves'!L259</f>
        <v>1530.390075</v>
      </c>
      <c r="I26" s="81">
        <f>'Design Option Curves'!O271</f>
        <v>75.660437239785551</v>
      </c>
      <c r="J26" s="44">
        <f>'Design Option Curves'!P271</f>
        <v>111.23069835497014</v>
      </c>
      <c r="K26" s="44">
        <f>'Design Option Curves'!Q271</f>
        <v>137.5811962945306</v>
      </c>
      <c r="L26" s="44">
        <f>'Design Option Curves'!R271</f>
        <v>163.93169423409103</v>
      </c>
      <c r="M26" s="44">
        <f>'Design Option Curves'!S271</f>
        <v>413.36872020289991</v>
      </c>
      <c r="N26" s="32">
        <f>'Design Option Curves'!U271</f>
        <v>0.32427144753434617</v>
      </c>
      <c r="O26" s="42">
        <f>'Design Option Curves'!V271</f>
        <v>426.16001476777865</v>
      </c>
      <c r="P26" s="279" t="s">
        <v>173</v>
      </c>
      <c r="Q26" s="280"/>
      <c r="R26"/>
    </row>
    <row r="27" spans="1:18" ht="24" thickBot="1" x14ac:dyDescent="0.3">
      <c r="A27"/>
      <c r="B27" s="274" t="s">
        <v>14</v>
      </c>
      <c r="C27" s="275"/>
      <c r="D27" s="275"/>
      <c r="E27" s="275"/>
      <c r="F27" s="275"/>
      <c r="G27" s="276"/>
      <c r="H27" s="277"/>
      <c r="I27" s="40">
        <v>0.1</v>
      </c>
      <c r="J27" s="40">
        <v>0.15</v>
      </c>
      <c r="K27" s="40">
        <v>0.2</v>
      </c>
      <c r="L27" s="40">
        <v>0.25</v>
      </c>
      <c r="M27" s="40">
        <v>0.3</v>
      </c>
      <c r="N27" s="41"/>
      <c r="O27" s="41"/>
      <c r="P27" s="291"/>
      <c r="Q27" s="292"/>
      <c r="R27"/>
    </row>
    <row r="28" spans="1:18" ht="15.75" thickBot="1" x14ac:dyDescent="0.3">
      <c r="A28"/>
      <c r="B28" s="43" t="s">
        <v>8</v>
      </c>
      <c r="C28" s="54">
        <f>'Design Option Curves'!O214</f>
        <v>0.31170194157775061</v>
      </c>
      <c r="D28" s="55">
        <f>'Design Option Curves'!P214</f>
        <v>110</v>
      </c>
      <c r="E28" s="56">
        <f>'Design Option Curves'!Q214</f>
        <v>34</v>
      </c>
      <c r="F28" s="85" t="str">
        <f>'Design Option Curves'!S214</f>
        <v>NA</v>
      </c>
      <c r="G28" s="86">
        <f>'Design Option Curves'!K215</f>
        <v>1051.4209000000001</v>
      </c>
      <c r="H28" s="86">
        <f>'Design Option Curves'!L215</f>
        <v>1314.2761250000001</v>
      </c>
      <c r="I28" s="81">
        <f>'Design Option Curves'!O227</f>
        <v>121.42973363357379</v>
      </c>
      <c r="J28" s="44">
        <f>'Design Option Curves'!P227</f>
        <v>248.19202185354391</v>
      </c>
      <c r="K28" s="44">
        <f>'Design Option Curves'!Q227</f>
        <v>374.95431007351414</v>
      </c>
      <c r="L28" s="44">
        <f>'Design Option Curves'!R227</f>
        <v>463.91417215593924</v>
      </c>
      <c r="M28" s="44">
        <f>'Design Option Curves'!S227</f>
        <v>494.3676997802491</v>
      </c>
      <c r="N28" s="32">
        <f>'Design Option Curves'!U227</f>
        <v>0.32736938767349361</v>
      </c>
      <c r="O28" s="42">
        <f>'Design Option Curves'!V227</f>
        <v>726.51779107250422</v>
      </c>
      <c r="P28" s="279" t="s">
        <v>173</v>
      </c>
      <c r="Q28" s="280"/>
      <c r="R28"/>
    </row>
    <row r="29" spans="1:18" ht="15.75" thickBot="1" x14ac:dyDescent="0.3">
      <c r="A29"/>
      <c r="B29" s="43" t="s">
        <v>10</v>
      </c>
      <c r="C29" s="54">
        <f>'Design Option Curves'!O236</f>
        <v>0.27857142857142858</v>
      </c>
      <c r="D29" s="55">
        <f>'Design Option Curves'!P236</f>
        <v>200</v>
      </c>
      <c r="E29" s="56">
        <f>'Design Option Curves'!Q236</f>
        <v>30</v>
      </c>
      <c r="F29" s="85" t="str">
        <f>'Design Option Curves'!S236</f>
        <v>NA</v>
      </c>
      <c r="G29" s="86">
        <f>'Design Option Curves'!K237</f>
        <v>1121.47874</v>
      </c>
      <c r="H29" s="86">
        <f>'Design Option Curves'!L237</f>
        <v>1401.8484250000001</v>
      </c>
      <c r="I29" s="81">
        <f>'Design Option Curves'!O249</f>
        <v>124.65120802395212</v>
      </c>
      <c r="J29" s="44">
        <f>'Design Option Curves'!P249</f>
        <v>225.18347503678288</v>
      </c>
      <c r="K29" s="44">
        <f>'Design Option Curves'!Q249</f>
        <v>237.26766697447337</v>
      </c>
      <c r="L29" s="44">
        <f>'Design Option Curves'!R249</f>
        <v>301.39240419558348</v>
      </c>
      <c r="M29" s="44"/>
      <c r="N29" s="32">
        <f>'Design Option Curves'!U249</f>
        <v>0.29134615270867315</v>
      </c>
      <c r="O29" s="42">
        <f>'Design Option Curves'!V249</f>
        <v>551.74859816383764</v>
      </c>
      <c r="P29" s="279" t="s">
        <v>173</v>
      </c>
      <c r="Q29" s="280"/>
      <c r="R29"/>
    </row>
    <row r="30" spans="1:18" x14ac:dyDescent="0.25">
      <c r="A30"/>
      <c r="B30"/>
      <c r="C30"/>
      <c r="D30"/>
      <c r="E30"/>
      <c r="F30"/>
      <c r="G30"/>
      <c r="H30"/>
      <c r="I30"/>
      <c r="J30"/>
      <c r="K30"/>
      <c r="L30"/>
      <c r="M30"/>
      <c r="N30"/>
      <c r="O30"/>
      <c r="P30"/>
      <c r="Q30"/>
      <c r="R30"/>
    </row>
    <row r="31" spans="1:18" x14ac:dyDescent="0.25">
      <c r="A31"/>
      <c r="B31"/>
      <c r="C31"/>
      <c r="D31"/>
      <c r="E31"/>
      <c r="F31"/>
      <c r="G31"/>
      <c r="H31"/>
      <c r="I31"/>
      <c r="J31"/>
      <c r="K31"/>
      <c r="L31"/>
      <c r="M31"/>
      <c r="N31"/>
      <c r="O31"/>
      <c r="P31"/>
      <c r="Q31"/>
      <c r="R31"/>
    </row>
    <row r="32" spans="1:18" ht="15.75" thickBot="1" x14ac:dyDescent="0.3">
      <c r="A32"/>
      <c r="B32" s="38" t="s">
        <v>119</v>
      </c>
      <c r="C32"/>
      <c r="D32"/>
      <c r="E32"/>
      <c r="F32"/>
      <c r="G32"/>
      <c r="H32"/>
      <c r="I32"/>
      <c r="J32"/>
      <c r="K32"/>
      <c r="L32"/>
      <c r="M32"/>
      <c r="N32"/>
      <c r="O32"/>
      <c r="P32"/>
      <c r="Q32"/>
      <c r="R32"/>
    </row>
    <row r="33" spans="1:18" ht="15.75" customHeight="1" thickBot="1" x14ac:dyDescent="0.3">
      <c r="A33"/>
      <c r="B33" s="271" t="s">
        <v>108</v>
      </c>
      <c r="C33" s="271" t="s">
        <v>0</v>
      </c>
      <c r="D33" s="271" t="s">
        <v>112</v>
      </c>
      <c r="E33" s="271" t="s">
        <v>111</v>
      </c>
      <c r="F33" s="271" t="s">
        <v>1</v>
      </c>
      <c r="G33" s="271" t="s">
        <v>109</v>
      </c>
      <c r="H33" s="271" t="s">
        <v>110</v>
      </c>
      <c r="I33" s="271" t="s">
        <v>113</v>
      </c>
      <c r="J33" s="271" t="s">
        <v>2</v>
      </c>
      <c r="K33" s="271" t="s">
        <v>3</v>
      </c>
      <c r="L33" s="271" t="s">
        <v>4</v>
      </c>
      <c r="M33" s="271" t="s">
        <v>5</v>
      </c>
      <c r="N33" s="269" t="s">
        <v>114</v>
      </c>
      <c r="O33" s="270"/>
      <c r="P33"/>
      <c r="Q33"/>
      <c r="R33"/>
    </row>
    <row r="34" spans="1:18" ht="15.75" thickBot="1" x14ac:dyDescent="0.3">
      <c r="A34"/>
      <c r="B34" s="272"/>
      <c r="C34" s="272"/>
      <c r="D34" s="272"/>
      <c r="E34" s="272"/>
      <c r="F34" s="272"/>
      <c r="G34" s="272"/>
      <c r="H34" s="272"/>
      <c r="I34" s="272"/>
      <c r="J34" s="272"/>
      <c r="K34" s="272"/>
      <c r="L34" s="272"/>
      <c r="M34" s="272"/>
      <c r="N34" s="39" t="s">
        <v>115</v>
      </c>
      <c r="O34" s="39" t="s">
        <v>116</v>
      </c>
      <c r="P34"/>
      <c r="Q34"/>
      <c r="R34"/>
    </row>
    <row r="35" spans="1:18" ht="24" thickBot="1" x14ac:dyDescent="0.3">
      <c r="A35"/>
      <c r="B35" s="262" t="s">
        <v>120</v>
      </c>
      <c r="C35" s="263"/>
      <c r="D35" s="263"/>
      <c r="E35" s="263"/>
      <c r="F35" s="263"/>
      <c r="G35" s="263"/>
      <c r="H35" s="264"/>
      <c r="I35" s="40">
        <v>0.1</v>
      </c>
      <c r="J35" s="40">
        <v>0.15</v>
      </c>
      <c r="K35" s="40">
        <v>0.2</v>
      </c>
      <c r="L35" s="40">
        <v>0.25</v>
      </c>
      <c r="M35" s="40">
        <v>0.3</v>
      </c>
      <c r="N35" s="41"/>
      <c r="O35" s="41"/>
      <c r="P35"/>
      <c r="Q35"/>
      <c r="R35"/>
    </row>
    <row r="36" spans="1:18" ht="15.75" thickBot="1" x14ac:dyDescent="0.3">
      <c r="A36"/>
      <c r="B36" s="43" t="s">
        <v>8</v>
      </c>
      <c r="C36" s="69"/>
      <c r="D36" s="65">
        <v>800</v>
      </c>
      <c r="E36" s="253" t="s">
        <v>117</v>
      </c>
      <c r="F36" s="254"/>
      <c r="G36" s="254"/>
      <c r="H36" s="254"/>
      <c r="I36" s="254"/>
      <c r="J36" s="254"/>
      <c r="K36" s="254"/>
      <c r="L36" s="254"/>
      <c r="M36" s="254"/>
      <c r="N36" s="254"/>
      <c r="O36" s="255"/>
      <c r="P36"/>
      <c r="Q36"/>
      <c r="R36"/>
    </row>
    <row r="37" spans="1:18" ht="15.75" thickBot="1" x14ac:dyDescent="0.3">
      <c r="A37"/>
      <c r="B37" s="265" t="s">
        <v>10</v>
      </c>
      <c r="C37" s="69"/>
      <c r="D37" s="70">
        <v>1000</v>
      </c>
      <c r="E37" s="253" t="s">
        <v>117</v>
      </c>
      <c r="F37" s="254"/>
      <c r="G37" s="254"/>
      <c r="H37" s="254"/>
      <c r="I37" s="254"/>
      <c r="J37" s="254"/>
      <c r="K37" s="254"/>
      <c r="L37" s="254"/>
      <c r="M37" s="254"/>
      <c r="N37" s="254"/>
      <c r="O37" s="255"/>
      <c r="P37"/>
      <c r="Q37"/>
      <c r="R37"/>
    </row>
    <row r="38" spans="1:18" ht="15.75" thickBot="1" x14ac:dyDescent="0.3">
      <c r="A38"/>
      <c r="B38" s="266"/>
      <c r="C38" s="69"/>
      <c r="D38" s="70">
        <v>1800</v>
      </c>
      <c r="E38" s="253" t="s">
        <v>117</v>
      </c>
      <c r="F38" s="254"/>
      <c r="G38" s="254"/>
      <c r="H38" s="254"/>
      <c r="I38" s="254"/>
      <c r="J38" s="254"/>
      <c r="K38" s="254"/>
      <c r="L38" s="254"/>
      <c r="M38" s="254"/>
      <c r="N38" s="254"/>
      <c r="O38" s="255"/>
      <c r="P38"/>
      <c r="Q38"/>
      <c r="R38"/>
    </row>
    <row r="39" spans="1:18" ht="24" thickBot="1" x14ac:dyDescent="0.3">
      <c r="A39"/>
      <c r="B39" s="267" t="s">
        <v>7</v>
      </c>
      <c r="C39" s="267"/>
      <c r="D39" s="267"/>
      <c r="E39" s="267"/>
      <c r="F39" s="267"/>
      <c r="G39" s="267"/>
      <c r="H39" s="267"/>
      <c r="I39" s="40">
        <v>0.1</v>
      </c>
      <c r="J39" s="40">
        <v>0.15</v>
      </c>
      <c r="K39" s="40">
        <v>0.2</v>
      </c>
      <c r="L39" s="40">
        <v>0.25</v>
      </c>
      <c r="M39" s="40">
        <v>0.3</v>
      </c>
      <c r="N39" s="41"/>
      <c r="O39" s="41"/>
      <c r="P39"/>
      <c r="Q39"/>
      <c r="R39"/>
    </row>
    <row r="40" spans="1:18" ht="15.75" thickBot="1" x14ac:dyDescent="0.3">
      <c r="A40"/>
      <c r="B40" s="43" t="s">
        <v>8</v>
      </c>
      <c r="C40" s="32">
        <f>'Design Option Curves'!O279</f>
        <v>0.25387289352376602</v>
      </c>
      <c r="D40" s="34">
        <f>'Design Option Curves'!P279</f>
        <v>310</v>
      </c>
      <c r="E40" s="33">
        <f>'Design Option Curves'!Q279</f>
        <v>12</v>
      </c>
      <c r="F40" s="32" t="str">
        <f>'Design Option Curves'!S279</f>
        <v>NA</v>
      </c>
      <c r="G40" s="71">
        <f>'Design Option Curves'!K281</f>
        <v>2705.54646</v>
      </c>
      <c r="H40" s="71">
        <f>'Design Option Curves'!L281</f>
        <v>3381.9330749999999</v>
      </c>
      <c r="I40" s="62">
        <f>'Design Option Curves'!O292</f>
        <v>100.47839910502826</v>
      </c>
      <c r="J40" s="62">
        <f>'Design Option Curves'!P292</f>
        <v>110.61777835917468</v>
      </c>
      <c r="K40" s="62">
        <f>'Design Option Curves'!Q292</f>
        <v>202.53455039804518</v>
      </c>
      <c r="L40" s="62">
        <f>'Design Option Curves'!R292</f>
        <v>505.32524424419887</v>
      </c>
      <c r="M40" s="62">
        <f>'Design Option Curves'!S292</f>
        <v>655.83205301807163</v>
      </c>
      <c r="N40" s="59">
        <f>'Design Option Curves'!U292</f>
        <v>0.28677341747189911</v>
      </c>
      <c r="O40" s="63">
        <f>'Design Option Curves'!V292</f>
        <v>655.83205301807163</v>
      </c>
      <c r="P40"/>
      <c r="Q40"/>
      <c r="R40"/>
    </row>
    <row r="41" spans="1:18" ht="15.75" thickBot="1" x14ac:dyDescent="0.3">
      <c r="A41"/>
      <c r="B41" s="268" t="s">
        <v>10</v>
      </c>
      <c r="C41" s="32">
        <f>'Design Option Curves'!O300</f>
        <v>0.17007480709834627</v>
      </c>
      <c r="D41" s="34">
        <f>'Design Option Curves'!P300</f>
        <v>820</v>
      </c>
      <c r="E41" s="33">
        <f>'Design Option Curves'!Q300</f>
        <v>13.6</v>
      </c>
      <c r="F41" s="32" t="str">
        <f>'Design Option Curves'!S300</f>
        <v>NA</v>
      </c>
      <c r="G41" s="71">
        <f>'Design Option Curves'!K302</f>
        <v>2090.4076399999999</v>
      </c>
      <c r="H41" s="71">
        <f>'Design Option Curves'!L302</f>
        <v>2613.0095499999998</v>
      </c>
      <c r="I41" s="62">
        <f>'Design Option Curves'!O313</f>
        <v>146.72233125910617</v>
      </c>
      <c r="J41" s="62">
        <f>'Design Option Curves'!P313</f>
        <v>188.8180216593255</v>
      </c>
      <c r="K41" s="62">
        <f>'Design Option Curves'!Q313</f>
        <v>618.11890542796016</v>
      </c>
      <c r="L41" s="62"/>
      <c r="M41" s="62"/>
      <c r="N41" s="59">
        <f>'Design Option Curves'!U313</f>
        <v>0.23316126313416582</v>
      </c>
      <c r="O41" s="63">
        <f>'Design Option Curves'!V313</f>
        <v>628.16986636705383</v>
      </c>
      <c r="P41"/>
      <c r="Q41"/>
      <c r="R41"/>
    </row>
    <row r="42" spans="1:18" ht="15.75" thickBot="1" x14ac:dyDescent="0.3">
      <c r="A42"/>
      <c r="B42" s="268"/>
      <c r="C42" s="69"/>
      <c r="D42" s="72">
        <v>1800</v>
      </c>
      <c r="E42" s="253" t="s">
        <v>117</v>
      </c>
      <c r="F42" s="254"/>
      <c r="G42" s="254"/>
      <c r="H42" s="254"/>
      <c r="I42" s="254"/>
      <c r="J42" s="254"/>
      <c r="K42" s="254"/>
      <c r="L42" s="254"/>
      <c r="M42" s="254"/>
      <c r="N42" s="254"/>
      <c r="O42" s="255"/>
      <c r="P42"/>
      <c r="Q42"/>
      <c r="R42"/>
    </row>
    <row r="43" spans="1:18" ht="24" thickBot="1" x14ac:dyDescent="0.3">
      <c r="A43"/>
      <c r="B43" s="250" t="s">
        <v>121</v>
      </c>
      <c r="C43" s="251"/>
      <c r="D43" s="251"/>
      <c r="E43" s="251"/>
      <c r="F43" s="251"/>
      <c r="G43" s="251"/>
      <c r="H43" s="252"/>
      <c r="I43" s="40">
        <v>0.1</v>
      </c>
      <c r="J43" s="40">
        <v>0.15</v>
      </c>
      <c r="K43" s="40">
        <v>0.2</v>
      </c>
      <c r="L43" s="40">
        <v>0.25</v>
      </c>
      <c r="M43" s="40">
        <v>0.3</v>
      </c>
      <c r="N43" s="73"/>
      <c r="O43" s="73"/>
      <c r="P43"/>
      <c r="Q43"/>
      <c r="R43"/>
    </row>
    <row r="44" spans="1:18" ht="15.75" thickBot="1" x14ac:dyDescent="0.3">
      <c r="A44"/>
      <c r="B44" s="43" t="s">
        <v>8</v>
      </c>
      <c r="C44" s="74">
        <f>'Design Option Curves'!O343</f>
        <v>0.18364154866628288</v>
      </c>
      <c r="D44" s="75">
        <f>'Design Option Curves'!P343</f>
        <v>800</v>
      </c>
      <c r="E44" s="76">
        <f>'Design Option Curves'!Q343</f>
        <v>12</v>
      </c>
      <c r="F44" s="76" t="str">
        <f>'Design Option Curves'!S343</f>
        <v>NA</v>
      </c>
      <c r="G44" s="77">
        <f>'Design Option Curves'!K344</f>
        <v>2090.4076399999999</v>
      </c>
      <c r="H44" s="77">
        <f>'Design Option Curves'!L344</f>
        <v>2613.0095499999998</v>
      </c>
      <c r="I44" s="78">
        <f>'Design Option Curves'!O356</f>
        <v>130.71408273447258</v>
      </c>
      <c r="J44" s="78">
        <f>'Design Option Curves'!P356</f>
        <v>117.69582920579731</v>
      </c>
      <c r="K44" s="78">
        <f>'Design Option Curves'!Q356</f>
        <v>180.39140394705211</v>
      </c>
      <c r="L44" s="78">
        <f>'Design Option Curves'!R356</f>
        <v>597.48375931713383</v>
      </c>
      <c r="M44" s="78"/>
      <c r="N44" s="49">
        <f>'Design Option Curves'!U356</f>
        <v>0.26576745007957586</v>
      </c>
      <c r="O44" s="53">
        <f>'Design Option Curves'!V356</f>
        <v>611.59898152976234</v>
      </c>
      <c r="P44"/>
      <c r="Q44"/>
      <c r="R44"/>
    </row>
    <row r="45" spans="1:18" ht="15.75" thickBot="1" x14ac:dyDescent="0.3">
      <c r="A45"/>
      <c r="B45" s="43" t="s">
        <v>10</v>
      </c>
      <c r="C45" s="69"/>
      <c r="D45" s="70">
        <v>1500</v>
      </c>
      <c r="E45" s="253" t="s">
        <v>117</v>
      </c>
      <c r="F45" s="254"/>
      <c r="G45" s="254"/>
      <c r="H45" s="254"/>
      <c r="I45" s="254"/>
      <c r="J45" s="254"/>
      <c r="K45" s="254"/>
      <c r="L45" s="254"/>
      <c r="M45" s="254"/>
      <c r="N45" s="254"/>
      <c r="O45" s="255"/>
      <c r="P45"/>
      <c r="Q45"/>
      <c r="R45"/>
    </row>
    <row r="46" spans="1:18" ht="15.75" thickBot="1" x14ac:dyDescent="0.3">
      <c r="A46"/>
      <c r="B46" s="250" t="s">
        <v>122</v>
      </c>
      <c r="C46" s="251"/>
      <c r="D46" s="251"/>
      <c r="E46" s="251"/>
      <c r="F46" s="251"/>
      <c r="G46" s="251"/>
      <c r="H46" s="252"/>
      <c r="I46" s="40">
        <v>0.1</v>
      </c>
      <c r="J46" s="40">
        <v>0.15</v>
      </c>
      <c r="K46" s="40">
        <v>0.2</v>
      </c>
      <c r="L46" s="40">
        <v>0.25</v>
      </c>
      <c r="M46" s="40">
        <v>0.3</v>
      </c>
      <c r="N46" s="79"/>
      <c r="O46" s="79"/>
      <c r="P46"/>
      <c r="Q46"/>
      <c r="R46"/>
    </row>
    <row r="47" spans="1:18" ht="15.75" thickBot="1" x14ac:dyDescent="0.3">
      <c r="A47"/>
      <c r="B47" s="43" t="s">
        <v>8</v>
      </c>
      <c r="C47" s="69"/>
      <c r="D47" s="80" t="s">
        <v>12</v>
      </c>
      <c r="E47" s="256" t="s">
        <v>117</v>
      </c>
      <c r="F47" s="257"/>
      <c r="G47" s="257"/>
      <c r="H47" s="257"/>
      <c r="I47" s="257"/>
      <c r="J47" s="257"/>
      <c r="K47" s="257"/>
      <c r="L47" s="257"/>
      <c r="M47" s="257"/>
      <c r="N47" s="257"/>
      <c r="O47" s="258"/>
      <c r="P47"/>
      <c r="Q47"/>
      <c r="R47"/>
    </row>
    <row r="48" spans="1:18" ht="15.75" thickBot="1" x14ac:dyDescent="0.3">
      <c r="A48"/>
      <c r="B48" s="43" t="s">
        <v>10</v>
      </c>
      <c r="C48" s="69"/>
      <c r="D48" s="65">
        <v>300</v>
      </c>
      <c r="E48" s="259" t="s">
        <v>117</v>
      </c>
      <c r="F48" s="260"/>
      <c r="G48" s="260"/>
      <c r="H48" s="260"/>
      <c r="I48" s="260"/>
      <c r="J48" s="260"/>
      <c r="K48" s="260"/>
      <c r="L48" s="260"/>
      <c r="M48" s="260"/>
      <c r="N48" s="260"/>
      <c r="O48" s="261"/>
      <c r="P48"/>
      <c r="Q48"/>
      <c r="R48"/>
    </row>
    <row r="49" spans="1:18" ht="15.75" thickBot="1" x14ac:dyDescent="0.3">
      <c r="A49"/>
      <c r="B49" s="262" t="s">
        <v>16</v>
      </c>
      <c r="C49" s="263"/>
      <c r="D49" s="263"/>
      <c r="E49" s="263"/>
      <c r="F49" s="263"/>
      <c r="G49" s="263"/>
      <c r="H49" s="264"/>
      <c r="I49" s="40">
        <v>0.1</v>
      </c>
      <c r="J49" s="40">
        <v>0.15</v>
      </c>
      <c r="K49" s="40">
        <v>0.2</v>
      </c>
      <c r="L49" s="40">
        <v>0.25</v>
      </c>
      <c r="M49" s="40"/>
      <c r="N49" s="54"/>
      <c r="O49" s="54"/>
      <c r="P49"/>
      <c r="Q49"/>
      <c r="R49"/>
    </row>
    <row r="50" spans="1:18" ht="15.75" thickBot="1" x14ac:dyDescent="0.3">
      <c r="A50"/>
      <c r="B50" s="43" t="s">
        <v>8</v>
      </c>
      <c r="C50" s="54">
        <f>'Design Option Curves'!O321</f>
        <v>0.24412125772985199</v>
      </c>
      <c r="D50" s="55">
        <f>'Design Option Curves'!P321</f>
        <v>220</v>
      </c>
      <c r="E50" s="56">
        <f>'Design Option Curves'!Q321</f>
        <v>12</v>
      </c>
      <c r="F50" s="54" t="str">
        <f>'Design Option Curves'!S321</f>
        <v>NA</v>
      </c>
      <c r="G50" s="57">
        <f>'Design Option Curves'!K323</f>
        <v>1411.0457800000001</v>
      </c>
      <c r="H50" s="71">
        <f>'Design Option Curves'!L323</f>
        <v>1763.8072250000002</v>
      </c>
      <c r="I50" s="78">
        <f>'Design Option Curves'!O334</f>
        <v>20.678418589873498</v>
      </c>
      <c r="J50" s="78">
        <f>'Design Option Curves'!P334</f>
        <v>91.666618725108904</v>
      </c>
      <c r="K50" s="78">
        <f>'Design Option Curves'!Q334</f>
        <v>162.65481886034434</v>
      </c>
      <c r="L50" s="78">
        <f>'Design Option Curves'!R334</f>
        <v>452.72295915332143</v>
      </c>
      <c r="M50" s="78"/>
      <c r="N50" s="233">
        <f>'Design Option Curves'!U334</f>
        <v>0.28484902595835676</v>
      </c>
      <c r="O50" s="53">
        <f>'Design Option Curves'!V334</f>
        <v>502.20035173831832</v>
      </c>
      <c r="P50"/>
      <c r="Q50"/>
      <c r="R50"/>
    </row>
    <row r="51" spans="1:18" ht="15.75" thickBot="1" x14ac:dyDescent="0.3">
      <c r="A51"/>
      <c r="B51" s="265" t="s">
        <v>10</v>
      </c>
      <c r="C51" s="69"/>
      <c r="D51" s="65">
        <v>300</v>
      </c>
      <c r="E51" s="253" t="s">
        <v>117</v>
      </c>
      <c r="F51" s="254"/>
      <c r="G51" s="254"/>
      <c r="H51" s="254"/>
      <c r="I51" s="254"/>
      <c r="J51" s="254"/>
      <c r="K51" s="254"/>
      <c r="L51" s="254"/>
      <c r="M51" s="254"/>
      <c r="N51" s="254"/>
      <c r="O51" s="255"/>
      <c r="P51"/>
      <c r="Q51"/>
      <c r="R51"/>
    </row>
    <row r="52" spans="1:18" ht="15.75" thickBot="1" x14ac:dyDescent="0.3">
      <c r="A52"/>
      <c r="B52" s="266"/>
      <c r="C52" s="69"/>
      <c r="D52" s="65">
        <v>670</v>
      </c>
      <c r="E52" s="253" t="s">
        <v>117</v>
      </c>
      <c r="F52" s="254"/>
      <c r="G52" s="254"/>
      <c r="H52" s="254"/>
      <c r="I52" s="254"/>
      <c r="J52" s="254"/>
      <c r="K52" s="254"/>
      <c r="L52" s="254"/>
      <c r="M52" s="254"/>
      <c r="N52" s="254"/>
      <c r="O52" s="255"/>
      <c r="P52"/>
      <c r="Q52"/>
      <c r="R52"/>
    </row>
    <row r="53" spans="1:18" x14ac:dyDescent="0.25">
      <c r="A53"/>
      <c r="B53"/>
      <c r="C53"/>
      <c r="D53"/>
      <c r="E53"/>
      <c r="F53"/>
      <c r="G53"/>
      <c r="H53"/>
      <c r="I53"/>
      <c r="J53"/>
      <c r="K53"/>
      <c r="L53"/>
      <c r="M53"/>
      <c r="N53"/>
      <c r="O53"/>
      <c r="P53"/>
      <c r="Q53"/>
      <c r="R53"/>
    </row>
    <row r="54" spans="1:18" x14ac:dyDescent="0.25">
      <c r="A54"/>
      <c r="B54"/>
      <c r="C54"/>
      <c r="D54"/>
      <c r="E54"/>
      <c r="F54"/>
      <c r="G54"/>
      <c r="H54"/>
      <c r="I54"/>
      <c r="J54"/>
      <c r="K54"/>
      <c r="L54"/>
      <c r="M54"/>
      <c r="N54"/>
      <c r="O54"/>
      <c r="P54"/>
      <c r="Q54"/>
      <c r="R54"/>
    </row>
    <row r="55" spans="1:18" x14ac:dyDescent="0.25">
      <c r="A55"/>
      <c r="B55"/>
      <c r="C55"/>
      <c r="D55"/>
      <c r="E55"/>
      <c r="F55"/>
      <c r="G55"/>
      <c r="H55"/>
      <c r="I55"/>
      <c r="J55"/>
      <c r="K55"/>
      <c r="L55"/>
      <c r="M55"/>
      <c r="N55"/>
      <c r="O55"/>
      <c r="P55"/>
      <c r="Q55"/>
      <c r="R55"/>
    </row>
  </sheetData>
  <mergeCells count="72">
    <mergeCell ref="P26:Q26"/>
    <mergeCell ref="P28:Q28"/>
    <mergeCell ref="P29:Q29"/>
    <mergeCell ref="P27:Q27"/>
    <mergeCell ref="P24:Q24"/>
    <mergeCell ref="E25:Q25"/>
    <mergeCell ref="B24:H24"/>
    <mergeCell ref="N8:O8"/>
    <mergeCell ref="P8:Q8"/>
    <mergeCell ref="P10:Q10"/>
    <mergeCell ref="P11:Q11"/>
    <mergeCell ref="P12:Q12"/>
    <mergeCell ref="L6:L7"/>
    <mergeCell ref="P23:Q23"/>
    <mergeCell ref="P20:Q20"/>
    <mergeCell ref="P14:Q14"/>
    <mergeCell ref="B8:H8"/>
    <mergeCell ref="B12:B13"/>
    <mergeCell ref="B14:H14"/>
    <mergeCell ref="B17:B18"/>
    <mergeCell ref="B22:B23"/>
    <mergeCell ref="B20:H20"/>
    <mergeCell ref="E21:Q21"/>
    <mergeCell ref="P13:Q13"/>
    <mergeCell ref="P16:Q16"/>
    <mergeCell ref="P18:Q18"/>
    <mergeCell ref="P19:Q19"/>
    <mergeCell ref="P22:Q22"/>
    <mergeCell ref="G6:G7"/>
    <mergeCell ref="H6:H7"/>
    <mergeCell ref="I6:I7"/>
    <mergeCell ref="J6:J7"/>
    <mergeCell ref="K6:K7"/>
    <mergeCell ref="P5:Q6"/>
    <mergeCell ref="N5:O6"/>
    <mergeCell ref="B27:H27"/>
    <mergeCell ref="B33:B34"/>
    <mergeCell ref="C33:C34"/>
    <mergeCell ref="D33:D34"/>
    <mergeCell ref="E33:E34"/>
    <mergeCell ref="F33:F34"/>
    <mergeCell ref="G33:G34"/>
    <mergeCell ref="H33:H34"/>
    <mergeCell ref="M6:M7"/>
    <mergeCell ref="B6:B7"/>
    <mergeCell ref="C6:C7"/>
    <mergeCell ref="D6:D7"/>
    <mergeCell ref="E6:E7"/>
    <mergeCell ref="F6:F7"/>
    <mergeCell ref="E36:O36"/>
    <mergeCell ref="N33:O33"/>
    <mergeCell ref="I33:I34"/>
    <mergeCell ref="J33:J34"/>
    <mergeCell ref="K33:K34"/>
    <mergeCell ref="L33:L34"/>
    <mergeCell ref="M33:M34"/>
    <mergeCell ref="B35:H35"/>
    <mergeCell ref="B46:H46"/>
    <mergeCell ref="E51:O51"/>
    <mergeCell ref="E52:O52"/>
    <mergeCell ref="E38:O38"/>
    <mergeCell ref="E42:O42"/>
    <mergeCell ref="E47:O47"/>
    <mergeCell ref="E48:O48"/>
    <mergeCell ref="B49:H49"/>
    <mergeCell ref="B51:B52"/>
    <mergeCell ref="B39:H39"/>
    <mergeCell ref="B43:H43"/>
    <mergeCell ref="E45:O45"/>
    <mergeCell ref="B41:B42"/>
    <mergeCell ref="B37:B38"/>
    <mergeCell ref="E37:O37"/>
  </mergeCells>
  <pageMargins left="0.25" right="0.25" top="0.75" bottom="0.75" header="0.3" footer="0.3"/>
  <pageSetup scale="5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422"/>
  <sheetViews>
    <sheetView showGridLines="0" tabSelected="1" zoomScale="70" zoomScaleNormal="70" workbookViewId="0">
      <selection activeCell="E2" sqref="E2"/>
    </sheetView>
  </sheetViews>
  <sheetFormatPr defaultRowHeight="15" x14ac:dyDescent="0.25"/>
  <cols>
    <col min="1" max="1" width="11.7109375" bestFit="1" customWidth="1"/>
    <col min="2" max="2" width="15.5703125" customWidth="1"/>
    <col min="3" max="3" width="21" customWidth="1"/>
    <col min="4" max="4" width="18.42578125" customWidth="1"/>
    <col min="5" max="5" width="58.7109375" customWidth="1"/>
    <col min="6" max="6" width="24.28515625" customWidth="1"/>
    <col min="7" max="7" width="28.28515625" bestFit="1" customWidth="1"/>
    <col min="8" max="8" width="19.85546875" customWidth="1"/>
    <col min="9" max="9" width="15.42578125" customWidth="1"/>
    <col min="10" max="10" width="13.7109375" customWidth="1"/>
    <col min="11" max="11" width="15.28515625" customWidth="1"/>
    <col min="12" max="12" width="12.85546875" customWidth="1"/>
    <col min="13" max="13" width="9.140625" customWidth="1"/>
    <col min="14" max="14" width="23.140625" bestFit="1" customWidth="1"/>
    <col min="15" max="15" width="19.42578125" customWidth="1"/>
    <col min="16" max="16" width="18.140625" customWidth="1"/>
    <col min="17" max="17" width="21.5703125" bestFit="1" customWidth="1"/>
    <col min="18" max="18" width="23.85546875" customWidth="1"/>
    <col min="19" max="19" width="24.7109375" customWidth="1"/>
    <col min="20" max="20" width="16.85546875" customWidth="1"/>
    <col min="21" max="21" width="12.7109375" customWidth="1"/>
    <col min="22" max="22" width="10.28515625" customWidth="1"/>
    <col min="23" max="23" width="9.85546875" customWidth="1"/>
    <col min="24" max="24" width="12.42578125" customWidth="1"/>
    <col min="25" max="27" width="9.140625" customWidth="1"/>
  </cols>
  <sheetData>
    <row r="1" spans="1:25" ht="21" x14ac:dyDescent="0.35">
      <c r="A1" s="82" t="s">
        <v>169</v>
      </c>
      <c r="I1" t="s">
        <v>163</v>
      </c>
      <c r="K1">
        <v>1.006</v>
      </c>
      <c r="L1" s="35" t="s">
        <v>164</v>
      </c>
    </row>
    <row r="2" spans="1:25" ht="18.75" x14ac:dyDescent="0.3">
      <c r="A2" s="83" t="s">
        <v>170</v>
      </c>
      <c r="B2" s="30"/>
    </row>
    <row r="3" spans="1:25" ht="18.75" x14ac:dyDescent="0.3">
      <c r="A3" s="84" t="s">
        <v>179</v>
      </c>
      <c r="B3" s="30"/>
    </row>
    <row r="4" spans="1:25" x14ac:dyDescent="0.25">
      <c r="B4" s="30"/>
    </row>
    <row r="5" spans="1:25" ht="19.5" thickBot="1" x14ac:dyDescent="0.35">
      <c r="A5" s="240"/>
      <c r="B5" s="131" t="s">
        <v>190</v>
      </c>
      <c r="R5" s="130" t="s">
        <v>181</v>
      </c>
    </row>
    <row r="6" spans="1:25" ht="15.75" customHeight="1" thickBot="1" x14ac:dyDescent="0.35">
      <c r="A6" s="240"/>
      <c r="D6" s="145"/>
      <c r="E6" s="97" t="s">
        <v>54</v>
      </c>
      <c r="F6" s="29">
        <f>10.26-0.0086*P9</f>
        <v>7.68</v>
      </c>
      <c r="H6" t="s">
        <v>175</v>
      </c>
      <c r="I6" s="99" t="s">
        <v>60</v>
      </c>
      <c r="L6" s="129" t="s">
        <v>180</v>
      </c>
      <c r="R6" s="138" t="s">
        <v>173</v>
      </c>
    </row>
    <row r="7" spans="1:25" ht="36" customHeight="1" thickBot="1" x14ac:dyDescent="0.35">
      <c r="A7" s="240"/>
      <c r="B7" s="304" t="s">
        <v>191</v>
      </c>
      <c r="C7" s="305"/>
      <c r="D7" s="306" t="s">
        <v>73</v>
      </c>
      <c r="E7" s="306"/>
      <c r="F7" s="306"/>
      <c r="G7" s="306"/>
      <c r="H7" s="306"/>
      <c r="I7" s="306"/>
      <c r="J7" s="306"/>
      <c r="K7" s="306"/>
      <c r="L7" s="100">
        <v>1.25</v>
      </c>
      <c r="N7" s="131" t="s">
        <v>189</v>
      </c>
      <c r="Q7" s="137" t="s">
        <v>182</v>
      </c>
      <c r="R7" s="137" t="s">
        <v>183</v>
      </c>
    </row>
    <row r="8" spans="1:25" ht="57.75" customHeight="1" thickBot="1" x14ac:dyDescent="0.3">
      <c r="A8" s="240"/>
      <c r="B8" s="299" t="s">
        <v>53</v>
      </c>
      <c r="C8" s="299" t="s">
        <v>17</v>
      </c>
      <c r="D8" s="299" t="s">
        <v>18</v>
      </c>
      <c r="E8" s="299" t="s">
        <v>19</v>
      </c>
      <c r="F8" s="307" t="s">
        <v>28</v>
      </c>
      <c r="G8" s="308"/>
      <c r="H8" s="309"/>
      <c r="I8" s="301" t="s">
        <v>26</v>
      </c>
      <c r="J8" s="302"/>
      <c r="K8" s="297" t="s">
        <v>52</v>
      </c>
      <c r="L8" s="310" t="s">
        <v>71</v>
      </c>
      <c r="N8" s="102" t="s">
        <v>11</v>
      </c>
      <c r="O8" s="103" t="s">
        <v>0</v>
      </c>
      <c r="P8" s="104" t="s">
        <v>55</v>
      </c>
      <c r="Q8" s="101" t="s">
        <v>97</v>
      </c>
      <c r="R8" s="101" t="s">
        <v>98</v>
      </c>
      <c r="S8" s="105" t="s">
        <v>1</v>
      </c>
    </row>
    <row r="9" spans="1:25" ht="25.5" x14ac:dyDescent="0.25">
      <c r="A9" s="240"/>
      <c r="B9" s="300"/>
      <c r="C9" s="300"/>
      <c r="D9" s="300"/>
      <c r="E9" s="300"/>
      <c r="F9" s="106" t="s">
        <v>27</v>
      </c>
      <c r="G9" s="106" t="s">
        <v>29</v>
      </c>
      <c r="H9" s="128" t="s">
        <v>176</v>
      </c>
      <c r="I9" s="106" t="s">
        <v>25</v>
      </c>
      <c r="J9" s="107" t="s">
        <v>24</v>
      </c>
      <c r="K9" s="298"/>
      <c r="L9" s="311"/>
      <c r="N9" s="108" t="s">
        <v>8</v>
      </c>
      <c r="O9" s="109">
        <v>0.19270833333333329</v>
      </c>
      <c r="P9" s="110">
        <v>300</v>
      </c>
      <c r="Q9" s="111">
        <v>25.6</v>
      </c>
      <c r="R9" s="111">
        <v>25.6</v>
      </c>
      <c r="S9" s="112" t="s">
        <v>12</v>
      </c>
      <c r="X9" s="113"/>
    </row>
    <row r="10" spans="1:25" ht="30" x14ac:dyDescent="0.25">
      <c r="A10" s="240"/>
      <c r="B10" s="114">
        <v>1</v>
      </c>
      <c r="C10" s="114">
        <v>7.68</v>
      </c>
      <c r="D10" s="132">
        <v>0</v>
      </c>
      <c r="E10" s="133" t="s">
        <v>20</v>
      </c>
      <c r="F10" s="31">
        <v>0</v>
      </c>
      <c r="G10" s="133" t="s">
        <v>20</v>
      </c>
      <c r="H10" s="134" t="s">
        <v>173</v>
      </c>
      <c r="I10" s="127">
        <v>0</v>
      </c>
      <c r="J10" s="127">
        <v>0</v>
      </c>
      <c r="K10" s="127">
        <f>910.07*$K$1</f>
        <v>915.53042000000005</v>
      </c>
      <c r="L10" s="31">
        <f>K10*$L$7</f>
        <v>1144.4130250000001</v>
      </c>
      <c r="N10" s="116" t="s">
        <v>56</v>
      </c>
      <c r="O10" s="116" t="s">
        <v>57</v>
      </c>
      <c r="P10" s="116" t="s">
        <v>58</v>
      </c>
      <c r="Q10" s="153" t="s">
        <v>96</v>
      </c>
      <c r="R10" s="116" t="s">
        <v>99</v>
      </c>
      <c r="S10" s="139" t="s">
        <v>184</v>
      </c>
      <c r="T10" s="314" t="s">
        <v>59</v>
      </c>
      <c r="U10" s="315"/>
      <c r="V10" s="315"/>
      <c r="W10" s="315"/>
      <c r="X10" s="315"/>
      <c r="Y10" s="316"/>
    </row>
    <row r="11" spans="1:25" x14ac:dyDescent="0.25">
      <c r="A11" s="240"/>
      <c r="B11" s="114">
        <v>2</v>
      </c>
      <c r="C11" s="117">
        <f>ROUND($C$10*(1-D11),2)</f>
        <v>7.61</v>
      </c>
      <c r="D11" s="132">
        <v>9.7014925373134428E-3</v>
      </c>
      <c r="E11" s="133" t="s">
        <v>123</v>
      </c>
      <c r="F11" s="4">
        <v>57.38</v>
      </c>
      <c r="G11" s="133" t="s">
        <v>31</v>
      </c>
      <c r="H11" s="136" t="s">
        <v>177</v>
      </c>
      <c r="I11" s="1">
        <f>2.7105*$K$1</f>
        <v>2.726763</v>
      </c>
      <c r="J11" s="1">
        <f t="shared" ref="J11:J17" si="0">J10+I11</f>
        <v>2.726763</v>
      </c>
      <c r="K11" s="1">
        <f t="shared" ref="K11:K17" si="1">$K$10+J11</f>
        <v>918.25718300000005</v>
      </c>
      <c r="L11" s="4">
        <f>K11*$L$7</f>
        <v>1147.8214787500001</v>
      </c>
      <c r="N11" s="118" t="s">
        <v>61</v>
      </c>
      <c r="O11" s="119">
        <v>0</v>
      </c>
      <c r="P11" s="14">
        <f>I10</f>
        <v>0</v>
      </c>
      <c r="Q11" s="14">
        <f>L10</f>
        <v>1144.4130250000001</v>
      </c>
      <c r="R11" s="19">
        <f t="shared" ref="R11:R16" si="2">IF($Q$9=$R$9,$R$9,IF(RIGHT(N11)&gt;=RIGHT($R$6),$R$9,$Q$9))</f>
        <v>25.6</v>
      </c>
      <c r="S11" s="19" t="s">
        <v>173</v>
      </c>
      <c r="T11" s="6"/>
      <c r="U11" s="6"/>
      <c r="V11" s="6"/>
      <c r="W11" s="6"/>
      <c r="X11" s="6"/>
      <c r="Y11" s="6"/>
    </row>
    <row r="12" spans="1:25" x14ac:dyDescent="0.25">
      <c r="A12" s="240"/>
      <c r="B12" s="114">
        <v>3</v>
      </c>
      <c r="C12" s="117">
        <f t="shared" ref="C12:C17" si="3">ROUND($C$10*(1-D12),2)</f>
        <v>7.31</v>
      </c>
      <c r="D12" s="132">
        <v>4.7555743549459184E-2</v>
      </c>
      <c r="E12" s="133" t="s">
        <v>124</v>
      </c>
      <c r="F12" s="4">
        <v>325.52</v>
      </c>
      <c r="G12" s="133" t="s">
        <v>30</v>
      </c>
      <c r="H12" s="136" t="s">
        <v>177</v>
      </c>
      <c r="I12" s="230">
        <f>(F12*1.05^((LOG(5.2/4.86)/LOG(1.02)))-F12)*$K$1</f>
        <v>59.366478876447665</v>
      </c>
      <c r="J12" s="1">
        <f t="shared" si="0"/>
        <v>62.093241876447664</v>
      </c>
      <c r="K12" s="1">
        <f t="shared" si="1"/>
        <v>977.62366187644773</v>
      </c>
      <c r="L12" s="4">
        <f>K12*$L$7</f>
        <v>1222.0295773455596</v>
      </c>
      <c r="N12" s="118" t="s">
        <v>15</v>
      </c>
      <c r="O12" s="119">
        <v>0.1</v>
      </c>
      <c r="P12" s="14">
        <f>$J$14+($J$15-$J$14)*(O12-$D$14)/($D$15-$D$14)</f>
        <v>94.341428515035645</v>
      </c>
      <c r="Q12" s="14">
        <f>P12*$L$7</f>
        <v>117.92678564379456</v>
      </c>
      <c r="R12" s="19">
        <f t="shared" si="2"/>
        <v>25.6</v>
      </c>
      <c r="S12" s="19" t="s">
        <v>185</v>
      </c>
      <c r="T12" s="2"/>
      <c r="U12" s="2"/>
      <c r="V12" s="6"/>
      <c r="W12" s="6"/>
      <c r="X12" s="6"/>
      <c r="Y12" s="6"/>
    </row>
    <row r="13" spans="1:25" x14ac:dyDescent="0.25">
      <c r="A13" s="241">
        <f>D13-D12</f>
        <v>1.7474879860200965E-2</v>
      </c>
      <c r="B13" s="114">
        <v>4</v>
      </c>
      <c r="C13" s="117">
        <f t="shared" si="3"/>
        <v>7.18</v>
      </c>
      <c r="D13" s="132">
        <v>6.5030623409660149E-2</v>
      </c>
      <c r="E13" s="133" t="s">
        <v>47</v>
      </c>
      <c r="F13" s="4">
        <v>18.02</v>
      </c>
      <c r="G13" s="133" t="s">
        <v>32</v>
      </c>
      <c r="H13" s="136" t="s">
        <v>177</v>
      </c>
      <c r="I13" s="1">
        <f>12.08*$K$1</f>
        <v>12.152480000000001</v>
      </c>
      <c r="J13" s="1">
        <f t="shared" si="0"/>
        <v>74.245721876447661</v>
      </c>
      <c r="K13" s="1">
        <f t="shared" si="1"/>
        <v>989.7761418764477</v>
      </c>
      <c r="L13" s="4">
        <f>K13*$L$7</f>
        <v>1237.2201773455597</v>
      </c>
      <c r="N13" s="118" t="s">
        <v>2</v>
      </c>
      <c r="O13" s="119">
        <v>0.15</v>
      </c>
      <c r="P13" s="14">
        <f>$J$14+($J$15-$J$14)*(O13-$D$14)/($D$15-$D$14)</f>
        <v>134.15616073510017</v>
      </c>
      <c r="Q13" s="14">
        <f t="shared" ref="Q13:Q15" si="4">P13*$L$7</f>
        <v>167.69520091887523</v>
      </c>
      <c r="R13" s="19">
        <f t="shared" si="2"/>
        <v>25.6</v>
      </c>
      <c r="S13" s="19" t="s">
        <v>185</v>
      </c>
      <c r="T13" s="2"/>
      <c r="U13" s="2"/>
      <c r="V13" s="6"/>
      <c r="W13" s="6"/>
      <c r="X13" s="6"/>
      <c r="Y13" s="6"/>
    </row>
    <row r="14" spans="1:25" x14ac:dyDescent="0.25">
      <c r="A14" s="241">
        <f t="shared" ref="A14:A16" si="5">D14-D13</f>
        <v>1.9460661662496534E-2</v>
      </c>
      <c r="B14" s="114">
        <v>5</v>
      </c>
      <c r="C14" s="117">
        <f t="shared" si="3"/>
        <v>7.03</v>
      </c>
      <c r="D14" s="132">
        <v>8.4491285072156683E-2</v>
      </c>
      <c r="E14" s="133" t="s">
        <v>48</v>
      </c>
      <c r="F14" s="4">
        <v>30.11</v>
      </c>
      <c r="G14" s="133" t="s">
        <v>32</v>
      </c>
      <c r="H14" s="136" t="s">
        <v>178</v>
      </c>
      <c r="I14" s="1">
        <f>7.7*$K$1</f>
        <v>7.7462</v>
      </c>
      <c r="J14" s="1">
        <f t="shared" si="0"/>
        <v>81.991921876447662</v>
      </c>
      <c r="K14" s="1">
        <f t="shared" si="1"/>
        <v>997.52234187644774</v>
      </c>
      <c r="L14" s="4">
        <f>K14*$L$7</f>
        <v>1246.9029273455596</v>
      </c>
      <c r="N14" s="118" t="s">
        <v>3</v>
      </c>
      <c r="O14" s="119">
        <v>0.2</v>
      </c>
      <c r="P14" s="14">
        <f>$J$14+($J$15-$J$14)*(O14-$D$14)/($D$15-$D$14)</f>
        <v>173.97089295516471</v>
      </c>
      <c r="Q14" s="14">
        <f t="shared" si="4"/>
        <v>217.46361619395589</v>
      </c>
      <c r="R14" s="19">
        <f t="shared" si="2"/>
        <v>25.6</v>
      </c>
      <c r="S14" s="19" t="s">
        <v>185</v>
      </c>
      <c r="T14" s="2"/>
      <c r="U14" s="2"/>
      <c r="V14" s="6"/>
      <c r="W14" s="6"/>
      <c r="X14" s="6"/>
      <c r="Y14" s="6"/>
    </row>
    <row r="15" spans="1:25" x14ac:dyDescent="0.25">
      <c r="A15" s="241">
        <f t="shared" si="5"/>
        <v>0.12810945273631846</v>
      </c>
      <c r="B15" s="114">
        <v>6</v>
      </c>
      <c r="C15" s="117">
        <f t="shared" si="3"/>
        <v>6.05</v>
      </c>
      <c r="D15" s="132">
        <v>0.21260073780847516</v>
      </c>
      <c r="E15" s="133" t="s">
        <v>46</v>
      </c>
      <c r="F15" s="4">
        <v>87.77</v>
      </c>
      <c r="G15" s="133" t="s">
        <v>51</v>
      </c>
      <c r="H15" s="136" t="s">
        <v>177</v>
      </c>
      <c r="I15" s="1">
        <f>101.404444444444*$K$1</f>
        <v>102.01287111111066</v>
      </c>
      <c r="J15" s="1">
        <f>J14+I15</f>
        <v>184.00479298755832</v>
      </c>
      <c r="K15" s="1">
        <f t="shared" si="1"/>
        <v>1099.5352129875585</v>
      </c>
      <c r="L15" s="4">
        <f t="shared" ref="L15:L17" si="6">K15*$L$7</f>
        <v>1374.419016234448</v>
      </c>
      <c r="N15" s="118" t="s">
        <v>4</v>
      </c>
      <c r="O15" s="119">
        <v>0.25</v>
      </c>
      <c r="P15" s="177">
        <f>U15-Y15*(W15/X15)</f>
        <v>420.0607587162288</v>
      </c>
      <c r="Q15" s="14">
        <f t="shared" si="4"/>
        <v>525.07594839528599</v>
      </c>
      <c r="R15" s="19">
        <f t="shared" si="2"/>
        <v>25.6</v>
      </c>
      <c r="S15" s="19" t="s">
        <v>186</v>
      </c>
      <c r="T15" s="121">
        <f>D17</f>
        <v>0.2551409941683821</v>
      </c>
      <c r="U15" s="14">
        <f>J17</f>
        <v>424.15450483940975</v>
      </c>
      <c r="V15" s="114"/>
      <c r="W15" s="121">
        <f>T15-O15</f>
        <v>5.1409941683820959E-3</v>
      </c>
      <c r="X15" s="121">
        <f>(D15-D14)</f>
        <v>0.12810945273631846</v>
      </c>
      <c r="Y15" s="14">
        <f>I15</f>
        <v>102.01287111111066</v>
      </c>
    </row>
    <row r="16" spans="1:25" x14ac:dyDescent="0.25">
      <c r="A16" s="241">
        <f t="shared" si="5"/>
        <v>1.2311847174232504E-2</v>
      </c>
      <c r="B16" s="114">
        <v>7</v>
      </c>
      <c r="C16" s="117">
        <f t="shared" si="3"/>
        <v>5.95</v>
      </c>
      <c r="D16" s="132">
        <v>0.22491258498270766</v>
      </c>
      <c r="E16" s="133" t="s">
        <v>49</v>
      </c>
      <c r="F16" s="4">
        <v>14.35</v>
      </c>
      <c r="G16" s="133" t="s">
        <v>33</v>
      </c>
      <c r="H16" s="136" t="s">
        <v>178</v>
      </c>
      <c r="I16" s="1">
        <f>21.31*$K$1</f>
        <v>21.437860000000001</v>
      </c>
      <c r="J16" s="1">
        <f t="shared" si="0"/>
        <v>205.44265298755832</v>
      </c>
      <c r="K16" s="1">
        <f t="shared" si="1"/>
        <v>1120.9730729875585</v>
      </c>
      <c r="L16" s="4">
        <f t="shared" si="6"/>
        <v>1401.216341234448</v>
      </c>
      <c r="N16" s="118" t="s">
        <v>5</v>
      </c>
      <c r="O16" s="119">
        <f>D17</f>
        <v>0.2551409941683821</v>
      </c>
      <c r="P16" s="14">
        <f>J17</f>
        <v>424.15450483940975</v>
      </c>
      <c r="Q16" s="14">
        <f>P16*$L$7</f>
        <v>530.19313104926221</v>
      </c>
      <c r="R16" s="19">
        <f t="shared" si="2"/>
        <v>25.6</v>
      </c>
      <c r="S16" s="19" t="s">
        <v>132</v>
      </c>
      <c r="T16" s="121"/>
      <c r="U16" s="14"/>
      <c r="V16" s="114"/>
      <c r="W16" s="121"/>
      <c r="X16" s="121"/>
      <c r="Y16" s="13"/>
    </row>
    <row r="17" spans="1:25" x14ac:dyDescent="0.25">
      <c r="A17" s="240"/>
      <c r="B17" s="114">
        <v>8</v>
      </c>
      <c r="C17" s="117">
        <f t="shared" si="3"/>
        <v>5.72</v>
      </c>
      <c r="D17" s="132">
        <v>0.2551409941683821</v>
      </c>
      <c r="E17" s="133" t="s">
        <v>50</v>
      </c>
      <c r="F17" s="4">
        <v>0</v>
      </c>
      <c r="G17" s="133" t="s">
        <v>50</v>
      </c>
      <c r="H17" s="136" t="s">
        <v>178</v>
      </c>
      <c r="I17" s="1">
        <f>217.407407407407*$K$1</f>
        <v>218.71185185185143</v>
      </c>
      <c r="J17" s="1">
        <f t="shared" si="0"/>
        <v>424.15450483940975</v>
      </c>
      <c r="K17" s="1">
        <f t="shared" si="1"/>
        <v>1339.6849248394099</v>
      </c>
      <c r="L17" s="4">
        <f t="shared" si="6"/>
        <v>1674.6061560492624</v>
      </c>
      <c r="N17" s="118" t="s">
        <v>62</v>
      </c>
      <c r="O17" s="123"/>
      <c r="P17" s="178"/>
      <c r="Q17" s="14"/>
      <c r="R17" s="19"/>
      <c r="S17" s="19"/>
      <c r="T17" s="2"/>
      <c r="U17" s="2"/>
      <c r="V17" s="6"/>
      <c r="W17" s="121"/>
      <c r="X17" s="121"/>
      <c r="Y17" s="13"/>
    </row>
    <row r="18" spans="1:25" x14ac:dyDescent="0.25">
      <c r="A18" s="240"/>
      <c r="B18" s="114">
        <v>9</v>
      </c>
      <c r="C18" s="6"/>
      <c r="D18" s="135"/>
      <c r="E18" s="133"/>
      <c r="F18" s="4"/>
      <c r="G18" s="133"/>
      <c r="H18" s="133"/>
      <c r="I18" s="1"/>
      <c r="J18" s="1"/>
      <c r="K18" s="1"/>
      <c r="L18" s="4"/>
      <c r="N18" s="125" t="s">
        <v>187</v>
      </c>
      <c r="O18" s="126">
        <f>O370</f>
        <v>0</v>
      </c>
      <c r="P18" s="14">
        <f>$J$14+($J$15-$J$14)*(O18-$D$14)/($D$15-$D$14)</f>
        <v>14.711964074906589</v>
      </c>
      <c r="Q18" s="14">
        <f>P18*$L$7</f>
        <v>18.389955093633237</v>
      </c>
      <c r="R18" s="36">
        <f>R9</f>
        <v>25.6</v>
      </c>
      <c r="S18" s="36"/>
      <c r="T18" s="2"/>
      <c r="U18" s="2"/>
      <c r="V18" s="6"/>
      <c r="W18" s="6"/>
      <c r="X18" s="6"/>
      <c r="Y18" s="6"/>
    </row>
    <row r="19" spans="1:25" x14ac:dyDescent="0.25">
      <c r="A19" s="240"/>
      <c r="B19" s="114">
        <v>10</v>
      </c>
      <c r="C19" s="6"/>
      <c r="D19" s="6"/>
      <c r="E19" s="6"/>
      <c r="F19" s="6"/>
      <c r="G19" s="6"/>
      <c r="H19" s="6"/>
      <c r="I19" s="6"/>
      <c r="J19" s="6"/>
      <c r="K19" s="6"/>
      <c r="L19" s="6"/>
    </row>
    <row r="20" spans="1:25" ht="19.5" thickBot="1" x14ac:dyDescent="0.35">
      <c r="A20" s="240"/>
      <c r="N20" s="131" t="s">
        <v>188</v>
      </c>
      <c r="O20" s="129"/>
      <c r="P20" s="129"/>
      <c r="Q20" s="129"/>
      <c r="R20" s="129"/>
      <c r="S20" s="129"/>
      <c r="T20" s="129"/>
      <c r="U20" s="129"/>
      <c r="V20" s="129"/>
    </row>
    <row r="21" spans="1:25" ht="15.75" customHeight="1" thickBot="1" x14ac:dyDescent="0.3">
      <c r="A21" s="240"/>
      <c r="I21" s="24"/>
      <c r="N21" s="313" t="s">
        <v>61</v>
      </c>
      <c r="O21" s="313" t="s">
        <v>15</v>
      </c>
      <c r="P21" s="313" t="s">
        <v>2</v>
      </c>
      <c r="Q21" s="313" t="s">
        <v>3</v>
      </c>
      <c r="R21" s="313" t="s">
        <v>4</v>
      </c>
      <c r="S21" s="313" t="s">
        <v>5</v>
      </c>
      <c r="T21" s="313" t="s">
        <v>62</v>
      </c>
      <c r="U21" s="313" t="s">
        <v>114</v>
      </c>
      <c r="V21" s="313"/>
    </row>
    <row r="22" spans="1:25" ht="15.75" thickBot="1" x14ac:dyDescent="0.3">
      <c r="A22" s="240"/>
      <c r="I22" s="24"/>
      <c r="N22" s="271"/>
      <c r="O22" s="271"/>
      <c r="P22" s="271"/>
      <c r="Q22" s="271"/>
      <c r="R22" s="271"/>
      <c r="S22" s="271"/>
      <c r="T22" s="271"/>
      <c r="U22" s="146" t="s">
        <v>115</v>
      </c>
      <c r="V22" s="146" t="s">
        <v>116</v>
      </c>
    </row>
    <row r="23" spans="1:25" ht="15.75" thickBot="1" x14ac:dyDescent="0.3">
      <c r="A23" s="240"/>
      <c r="I23" s="24"/>
      <c r="N23" s="148">
        <f>P11</f>
        <v>0</v>
      </c>
      <c r="O23" s="148">
        <f>P12</f>
        <v>94.341428515035645</v>
      </c>
      <c r="P23" s="148">
        <f>P13</f>
        <v>134.15616073510017</v>
      </c>
      <c r="Q23" s="148">
        <f>P14</f>
        <v>173.97089295516471</v>
      </c>
      <c r="R23" s="149">
        <f>P15</f>
        <v>420.0607587162288</v>
      </c>
      <c r="S23" s="152">
        <f>P16</f>
        <v>424.15450483940975</v>
      </c>
      <c r="T23" s="147">
        <f>P17</f>
        <v>0</v>
      </c>
      <c r="U23" s="150">
        <f>MAX(O11:O17)</f>
        <v>0.2551409941683821</v>
      </c>
      <c r="V23" s="151">
        <f>MAX(N23:T23)</f>
        <v>424.15450483940975</v>
      </c>
    </row>
    <row r="24" spans="1:25" x14ac:dyDescent="0.25">
      <c r="A24" s="240"/>
      <c r="I24" s="24"/>
    </row>
    <row r="25" spans="1:25" s="196" customFormat="1" x14ac:dyDescent="0.25">
      <c r="A25" s="242"/>
      <c r="I25" s="197"/>
      <c r="N25" s="198"/>
      <c r="O25" s="199"/>
    </row>
    <row r="26" spans="1:25" s="196" customFormat="1" x14ac:dyDescent="0.25">
      <c r="A26" s="242"/>
      <c r="I26" s="197"/>
      <c r="N26" s="198"/>
      <c r="O26" s="199"/>
    </row>
    <row r="27" spans="1:25" x14ac:dyDescent="0.25">
      <c r="A27" s="240"/>
      <c r="I27" s="24"/>
      <c r="N27" s="25"/>
      <c r="O27" s="23"/>
    </row>
    <row r="28" spans="1:25" ht="19.5" thickBot="1" x14ac:dyDescent="0.35">
      <c r="A28" s="240"/>
      <c r="B28" s="131" t="s">
        <v>190</v>
      </c>
      <c r="R28" s="130" t="s">
        <v>181</v>
      </c>
    </row>
    <row r="29" spans="1:25" ht="15.75" thickBot="1" x14ac:dyDescent="0.3">
      <c r="A29" s="240"/>
      <c r="E29" s="97" t="s">
        <v>54</v>
      </c>
      <c r="F29" s="29">
        <f>6.89-0.0011*P32</f>
        <v>6.01</v>
      </c>
      <c r="H29" t="s">
        <v>175</v>
      </c>
      <c r="I29" s="99" t="s">
        <v>63</v>
      </c>
      <c r="L29" s="129" t="s">
        <v>180</v>
      </c>
      <c r="R29" s="101" t="s">
        <v>2</v>
      </c>
    </row>
    <row r="30" spans="1:25" ht="37.5" customHeight="1" thickBot="1" x14ac:dyDescent="0.35">
      <c r="A30" s="240"/>
      <c r="B30" s="304" t="s">
        <v>192</v>
      </c>
      <c r="C30" s="305"/>
      <c r="D30" s="306" t="s">
        <v>74</v>
      </c>
      <c r="E30" s="306"/>
      <c r="F30" s="306"/>
      <c r="G30" s="306"/>
      <c r="H30" s="306"/>
      <c r="I30" s="306"/>
      <c r="J30" s="306"/>
      <c r="K30" s="306"/>
      <c r="L30" s="100">
        <v>1.25</v>
      </c>
      <c r="N30" s="131" t="s">
        <v>189</v>
      </c>
      <c r="Q30" s="137" t="s">
        <v>182</v>
      </c>
      <c r="R30" s="137" t="s">
        <v>183</v>
      </c>
    </row>
    <row r="31" spans="1:25" ht="65.25" customHeight="1" thickBot="1" x14ac:dyDescent="0.3">
      <c r="A31" s="240"/>
      <c r="B31" s="299" t="s">
        <v>53</v>
      </c>
      <c r="C31" s="299" t="s">
        <v>17</v>
      </c>
      <c r="D31" s="299" t="s">
        <v>18</v>
      </c>
      <c r="E31" s="299" t="s">
        <v>19</v>
      </c>
      <c r="F31" s="307" t="s">
        <v>28</v>
      </c>
      <c r="G31" s="308"/>
      <c r="H31" s="309"/>
      <c r="I31" s="301" t="s">
        <v>26</v>
      </c>
      <c r="J31" s="302"/>
      <c r="K31" s="297" t="s">
        <v>52</v>
      </c>
      <c r="L31" s="310" t="s">
        <v>71</v>
      </c>
      <c r="N31" s="102" t="s">
        <v>11</v>
      </c>
      <c r="O31" s="103" t="s">
        <v>0</v>
      </c>
      <c r="P31" s="104" t="s">
        <v>55</v>
      </c>
      <c r="Q31" s="101" t="s">
        <v>97</v>
      </c>
      <c r="R31" s="101" t="s">
        <v>98</v>
      </c>
      <c r="S31" s="105" t="s">
        <v>1</v>
      </c>
    </row>
    <row r="32" spans="1:25" ht="25.5" x14ac:dyDescent="0.25">
      <c r="A32" s="240"/>
      <c r="B32" s="300"/>
      <c r="C32" s="300"/>
      <c r="D32" s="300"/>
      <c r="E32" s="300"/>
      <c r="F32" s="106" t="s">
        <v>27</v>
      </c>
      <c r="G32" s="106" t="s">
        <v>29</v>
      </c>
      <c r="H32" s="128" t="s">
        <v>176</v>
      </c>
      <c r="I32" s="106" t="s">
        <v>25</v>
      </c>
      <c r="J32" s="107" t="s">
        <v>24</v>
      </c>
      <c r="K32" s="298"/>
      <c r="L32" s="312"/>
      <c r="N32" s="108" t="s">
        <v>68</v>
      </c>
      <c r="O32" s="109">
        <v>0.16129898013955982</v>
      </c>
      <c r="P32" s="110">
        <v>800</v>
      </c>
      <c r="Q32" s="111">
        <v>22.7</v>
      </c>
      <c r="R32" s="111">
        <v>20</v>
      </c>
      <c r="S32" s="112" t="s">
        <v>12</v>
      </c>
    </row>
    <row r="33" spans="1:25" ht="30" x14ac:dyDescent="0.25">
      <c r="A33" s="240"/>
      <c r="B33" s="114">
        <v>1</v>
      </c>
      <c r="C33" s="114">
        <v>6.01</v>
      </c>
      <c r="D33" s="200">
        <v>0</v>
      </c>
      <c r="E33" s="161" t="s">
        <v>20</v>
      </c>
      <c r="F33" s="127">
        <v>0</v>
      </c>
      <c r="G33" s="161" t="s">
        <v>20</v>
      </c>
      <c r="H33" s="134" t="s">
        <v>173</v>
      </c>
      <c r="I33" s="127">
        <v>0</v>
      </c>
      <c r="J33" s="127">
        <v>0</v>
      </c>
      <c r="K33" s="127">
        <f>1485.08*$K$1</f>
        <v>1493.9904799999999</v>
      </c>
      <c r="L33" s="31">
        <f t="shared" ref="L33:L41" si="7">K33*$L$30</f>
        <v>1867.4881</v>
      </c>
      <c r="N33" s="116" t="s">
        <v>56</v>
      </c>
      <c r="O33" s="116" t="s">
        <v>57</v>
      </c>
      <c r="P33" s="116" t="s">
        <v>58</v>
      </c>
      <c r="Q33" s="116" t="s">
        <v>96</v>
      </c>
      <c r="R33" s="116" t="s">
        <v>99</v>
      </c>
      <c r="S33" s="139" t="s">
        <v>184</v>
      </c>
      <c r="T33" s="314" t="s">
        <v>59</v>
      </c>
      <c r="U33" s="315"/>
      <c r="V33" s="315"/>
      <c r="W33" s="315"/>
      <c r="X33" s="315"/>
      <c r="Y33" s="316"/>
    </row>
    <row r="34" spans="1:25" x14ac:dyDescent="0.25">
      <c r="A34" s="243">
        <f>D34-D33</f>
        <v>8.9866457187745538E-2</v>
      </c>
      <c r="B34" s="114">
        <v>2</v>
      </c>
      <c r="C34" s="117">
        <f>ROUND($C$33*(1-D34),2)</f>
        <v>5.47</v>
      </c>
      <c r="D34" s="155">
        <v>8.9866457187745538E-2</v>
      </c>
      <c r="E34" s="6" t="s">
        <v>125</v>
      </c>
      <c r="F34" s="4">
        <v>417.45</v>
      </c>
      <c r="G34" s="6" t="s">
        <v>30</v>
      </c>
      <c r="H34" s="154" t="s">
        <v>177</v>
      </c>
      <c r="I34" s="230">
        <f>(F12*1.05^((LOG(6.7/5.66)/LOG(1.02)))-F12)*$K$1</f>
        <v>168.74349506631108</v>
      </c>
      <c r="J34" s="1">
        <f t="shared" ref="J34:J41" si="8">J33+I34</f>
        <v>168.74349506631108</v>
      </c>
      <c r="K34" s="4">
        <f t="shared" ref="K34:K41" si="9">$K$33+J34</f>
        <v>1662.7339750663109</v>
      </c>
      <c r="L34" s="4">
        <f>K34*$L$30</f>
        <v>2078.4174688328885</v>
      </c>
      <c r="M34" s="17"/>
      <c r="N34" s="118" t="s">
        <v>61</v>
      </c>
      <c r="O34" s="119">
        <v>0</v>
      </c>
      <c r="P34" s="14">
        <f>I33</f>
        <v>0</v>
      </c>
      <c r="Q34" s="14">
        <f>L33</f>
        <v>1867.4881</v>
      </c>
      <c r="R34" s="19">
        <f>IF($Q$32=$R$32,$R$32,IF(RIGHT(N34)&gt;=RIGHT($R$29),$R$32,$Q$32))</f>
        <v>22.7</v>
      </c>
      <c r="S34" s="19" t="s">
        <v>173</v>
      </c>
      <c r="T34" s="6"/>
      <c r="U34" s="6"/>
      <c r="V34" s="6"/>
      <c r="W34" s="6"/>
      <c r="X34" s="6"/>
      <c r="Y34" s="6"/>
    </row>
    <row r="35" spans="1:25" x14ac:dyDescent="0.25">
      <c r="A35" s="243">
        <f t="shared" ref="A35:A41" si="10">D35-D34</f>
        <v>2.6949414623370901E-2</v>
      </c>
      <c r="B35" s="114">
        <v>3</v>
      </c>
      <c r="C35" s="117">
        <f t="shared" ref="C35:C41" si="11">ROUND($C$33*(1-D35),2)</f>
        <v>5.31</v>
      </c>
      <c r="D35" s="155">
        <v>0.11681587181111644</v>
      </c>
      <c r="E35" s="6" t="s">
        <v>47</v>
      </c>
      <c r="F35" s="4">
        <v>26.47</v>
      </c>
      <c r="G35" s="6" t="s">
        <v>32</v>
      </c>
      <c r="H35" s="154" t="s">
        <v>177</v>
      </c>
      <c r="I35" s="1">
        <f>18.15*$K$1</f>
        <v>18.258899999999997</v>
      </c>
      <c r="J35" s="1">
        <f t="shared" si="8"/>
        <v>187.00239506631107</v>
      </c>
      <c r="K35" s="4">
        <f t="shared" si="9"/>
        <v>1680.9928750663109</v>
      </c>
      <c r="L35" s="4">
        <f t="shared" si="7"/>
        <v>2101.2410938328885</v>
      </c>
      <c r="M35" s="17"/>
      <c r="N35" s="118" t="s">
        <v>15</v>
      </c>
      <c r="O35" s="119">
        <v>0.1</v>
      </c>
      <c r="P35" s="14">
        <f>$J$34+($J$35-$J$34)*(O35-$D$34)/($D$35-$D$34)</f>
        <v>175.60922285448407</v>
      </c>
      <c r="Q35" s="14">
        <f>P35*$L$30</f>
        <v>219.51152856810509</v>
      </c>
      <c r="R35" s="19">
        <v>22.7</v>
      </c>
      <c r="S35" s="19" t="s">
        <v>185</v>
      </c>
      <c r="T35" s="2"/>
      <c r="U35" s="2"/>
      <c r="V35" s="6"/>
      <c r="W35" s="6"/>
      <c r="X35" s="6"/>
      <c r="Y35" s="6"/>
    </row>
    <row r="36" spans="1:25" x14ac:dyDescent="0.25">
      <c r="A36" s="243">
        <f t="shared" si="10"/>
        <v>3.0011848103299404E-2</v>
      </c>
      <c r="B36" s="114">
        <v>4</v>
      </c>
      <c r="C36" s="117">
        <f t="shared" si="11"/>
        <v>5.13</v>
      </c>
      <c r="D36" s="155">
        <v>0.14682771991441584</v>
      </c>
      <c r="E36" s="6" t="s">
        <v>48</v>
      </c>
      <c r="F36" s="4">
        <v>44.62</v>
      </c>
      <c r="G36" s="6" t="s">
        <v>32</v>
      </c>
      <c r="H36" s="154" t="s">
        <v>178</v>
      </c>
      <c r="I36" s="1">
        <f>6.63*$K$1</f>
        <v>6.6697800000000003</v>
      </c>
      <c r="J36" s="1">
        <f t="shared" si="8"/>
        <v>193.67217506631107</v>
      </c>
      <c r="K36" s="4">
        <f t="shared" si="9"/>
        <v>1687.6626550663109</v>
      </c>
      <c r="L36" s="4">
        <f t="shared" si="7"/>
        <v>2109.5783188328887</v>
      </c>
      <c r="M36" s="17"/>
      <c r="N36" s="118" t="s">
        <v>2</v>
      </c>
      <c r="O36" s="119">
        <v>0.15</v>
      </c>
      <c r="P36" s="177">
        <f>U36-Y36*(W36/X36)</f>
        <v>191.68263906019007</v>
      </c>
      <c r="Q36" s="14">
        <f t="shared" ref="Q36:Q37" si="12">P36*$L$30</f>
        <v>239.60329882523757</v>
      </c>
      <c r="R36" s="19">
        <v>20</v>
      </c>
      <c r="S36" s="19" t="s">
        <v>186</v>
      </c>
      <c r="T36" s="155">
        <f>D37</f>
        <v>0.16713228844233463</v>
      </c>
      <c r="U36" s="156">
        <f>J37</f>
        <v>223.85217506631108</v>
      </c>
      <c r="V36" s="6"/>
      <c r="W36" s="157">
        <f>T36-O36</f>
        <v>1.7132288442334637E-2</v>
      </c>
      <c r="X36" s="157">
        <f>D34-D33</f>
        <v>8.9866457187745538E-2</v>
      </c>
      <c r="Y36" s="12">
        <f>I34</f>
        <v>168.74349506631108</v>
      </c>
    </row>
    <row r="37" spans="1:25" x14ac:dyDescent="0.25">
      <c r="A37" s="243">
        <f t="shared" si="10"/>
        <v>2.0304568527918787E-2</v>
      </c>
      <c r="B37" s="114">
        <v>5</v>
      </c>
      <c r="C37" s="117">
        <f t="shared" si="11"/>
        <v>5.01</v>
      </c>
      <c r="D37" s="155">
        <v>0.16713228844233463</v>
      </c>
      <c r="E37" s="6" t="s">
        <v>64</v>
      </c>
      <c r="F37" s="4">
        <v>0</v>
      </c>
      <c r="G37" s="6" t="s">
        <v>65</v>
      </c>
      <c r="H37" s="154" t="s">
        <v>178</v>
      </c>
      <c r="I37" s="1">
        <f>30*$K$1</f>
        <v>30.18</v>
      </c>
      <c r="J37" s="1">
        <f t="shared" si="8"/>
        <v>223.85217506631108</v>
      </c>
      <c r="K37" s="4">
        <f t="shared" si="9"/>
        <v>1717.842655066311</v>
      </c>
      <c r="L37" s="4">
        <f t="shared" si="7"/>
        <v>2147.3033188328886</v>
      </c>
      <c r="M37" s="17"/>
      <c r="N37" s="118" t="s">
        <v>3</v>
      </c>
      <c r="O37" s="119">
        <v>0.2</v>
      </c>
      <c r="P37" s="14">
        <f>J39+(J40-J39)*(O37-D39)/(D40-D39)</f>
        <v>277.9816552535089</v>
      </c>
      <c r="Q37" s="14">
        <f t="shared" si="12"/>
        <v>347.47706906688614</v>
      </c>
      <c r="R37" s="19">
        <v>20</v>
      </c>
      <c r="S37" s="19" t="s">
        <v>185</v>
      </c>
      <c r="T37" s="155"/>
      <c r="U37" s="156"/>
      <c r="V37" s="6"/>
      <c r="W37" s="157"/>
      <c r="X37" s="157"/>
      <c r="Y37" s="12"/>
    </row>
    <row r="38" spans="1:25" x14ac:dyDescent="0.25">
      <c r="A38" s="243">
        <f t="shared" si="10"/>
        <v>1.2139285499126462E-2</v>
      </c>
      <c r="B38" s="114">
        <v>6</v>
      </c>
      <c r="C38" s="117">
        <f t="shared" si="11"/>
        <v>4.93</v>
      </c>
      <c r="D38" s="155">
        <v>0.17927157394146109</v>
      </c>
      <c r="E38" s="6" t="s">
        <v>49</v>
      </c>
      <c r="F38" s="4">
        <v>17.57</v>
      </c>
      <c r="G38" s="6" t="s">
        <v>33</v>
      </c>
      <c r="H38" s="154" t="s">
        <v>178</v>
      </c>
      <c r="I38" s="1">
        <f>19.89*$K$1</f>
        <v>20.009340000000002</v>
      </c>
      <c r="J38" s="1">
        <f t="shared" si="8"/>
        <v>243.86151506631109</v>
      </c>
      <c r="K38" s="4">
        <f t="shared" si="9"/>
        <v>1737.851995066311</v>
      </c>
      <c r="L38" s="4">
        <f t="shared" si="7"/>
        <v>2172.3149938328888</v>
      </c>
      <c r="M38" s="17"/>
      <c r="N38" s="118" t="s">
        <v>4</v>
      </c>
      <c r="O38" s="119">
        <f>D41</f>
        <v>0.2340447879722958</v>
      </c>
      <c r="P38" s="14">
        <f>J41</f>
        <v>508.45441877001502</v>
      </c>
      <c r="Q38" s="14">
        <f>P38*$L$30</f>
        <v>635.56802346251879</v>
      </c>
      <c r="R38" s="19">
        <v>20</v>
      </c>
      <c r="S38" s="19" t="s">
        <v>132</v>
      </c>
      <c r="T38" s="121"/>
      <c r="U38" s="13"/>
      <c r="V38" s="114"/>
      <c r="W38" s="121"/>
      <c r="X38" s="121"/>
      <c r="Y38" s="13"/>
    </row>
    <row r="39" spans="1:25" x14ac:dyDescent="0.25">
      <c r="A39" s="243">
        <f t="shared" si="10"/>
        <v>1.3536379018612515E-2</v>
      </c>
      <c r="B39" s="114">
        <v>7</v>
      </c>
      <c r="C39" s="117">
        <f t="shared" si="11"/>
        <v>4.8499999999999996</v>
      </c>
      <c r="D39" s="155">
        <v>0.19280795296007361</v>
      </c>
      <c r="E39" s="6" t="s">
        <v>66</v>
      </c>
      <c r="F39" s="4">
        <v>128.96</v>
      </c>
      <c r="G39" s="6" t="s">
        <v>31</v>
      </c>
      <c r="H39" s="154" t="s">
        <v>177</v>
      </c>
      <c r="I39" s="1">
        <f>23.51*$K$1</f>
        <v>23.651060000000001</v>
      </c>
      <c r="J39" s="1">
        <f t="shared" si="8"/>
        <v>267.51257506631111</v>
      </c>
      <c r="K39" s="4">
        <f t="shared" si="9"/>
        <v>1761.5030550663109</v>
      </c>
      <c r="L39" s="4">
        <f t="shared" si="7"/>
        <v>2201.8788188328886</v>
      </c>
      <c r="M39" s="17"/>
      <c r="N39" s="118" t="s">
        <v>5</v>
      </c>
      <c r="O39" s="123"/>
      <c r="P39" s="178"/>
      <c r="Q39" s="14"/>
      <c r="R39" s="19"/>
      <c r="S39" s="19"/>
      <c r="T39" s="121"/>
      <c r="U39" s="14"/>
      <c r="V39" s="114"/>
      <c r="W39" s="121"/>
      <c r="X39" s="121"/>
      <c r="Y39" s="14"/>
    </row>
    <row r="40" spans="1:25" x14ac:dyDescent="0.25">
      <c r="A40" s="243">
        <f t="shared" si="10"/>
        <v>1.0152284263959477E-2</v>
      </c>
      <c r="B40" s="114">
        <v>8</v>
      </c>
      <c r="C40" s="117">
        <f t="shared" si="11"/>
        <v>4.79</v>
      </c>
      <c r="D40" s="155">
        <v>0.20296023722403309</v>
      </c>
      <c r="E40" s="6" t="s">
        <v>67</v>
      </c>
      <c r="F40" s="4">
        <v>143.63999999999999</v>
      </c>
      <c r="G40" s="6" t="s">
        <v>31</v>
      </c>
      <c r="H40" s="154" t="s">
        <v>177</v>
      </c>
      <c r="I40" s="1">
        <f>14.69*$K$1</f>
        <v>14.778139999999999</v>
      </c>
      <c r="J40" s="1">
        <f t="shared" si="8"/>
        <v>282.29071506631112</v>
      </c>
      <c r="K40" s="4">
        <f t="shared" si="9"/>
        <v>1776.2811950663111</v>
      </c>
      <c r="L40" s="4">
        <f t="shared" si="7"/>
        <v>2220.351493832889</v>
      </c>
      <c r="M40" s="17"/>
      <c r="N40" s="118" t="s">
        <v>62</v>
      </c>
      <c r="O40" s="158"/>
      <c r="P40" s="178"/>
      <c r="Q40" s="16"/>
      <c r="R40" s="16"/>
      <c r="S40" s="19"/>
      <c r="T40" s="121"/>
      <c r="U40" s="121"/>
      <c r="V40" s="13"/>
      <c r="W40" s="121"/>
      <c r="X40" s="121"/>
      <c r="Y40" s="13"/>
    </row>
    <row r="41" spans="1:25" x14ac:dyDescent="0.25">
      <c r="A41" s="243">
        <f t="shared" si="10"/>
        <v>3.1084550748262718E-2</v>
      </c>
      <c r="B41" s="114">
        <v>9</v>
      </c>
      <c r="C41" s="117">
        <f t="shared" si="11"/>
        <v>4.5999999999999996</v>
      </c>
      <c r="D41" s="155">
        <v>0.2340447879722958</v>
      </c>
      <c r="E41" s="6" t="s">
        <v>50</v>
      </c>
      <c r="F41" s="4">
        <v>0</v>
      </c>
      <c r="G41" s="6" t="s">
        <v>50</v>
      </c>
      <c r="H41" s="154" t="s">
        <v>178</v>
      </c>
      <c r="I41" s="1">
        <f>224.814814814815*$K$1</f>
        <v>226.1637037037039</v>
      </c>
      <c r="J41" s="1">
        <f t="shared" si="8"/>
        <v>508.45441877001502</v>
      </c>
      <c r="K41" s="4">
        <f t="shared" si="9"/>
        <v>2002.444898770015</v>
      </c>
      <c r="L41" s="4">
        <f t="shared" si="7"/>
        <v>2503.0561234625188</v>
      </c>
      <c r="M41" s="17"/>
      <c r="N41" s="125" t="s">
        <v>187</v>
      </c>
      <c r="O41" s="159">
        <f>O392</f>
        <v>0.15575878126370496</v>
      </c>
      <c r="P41" s="177">
        <f>U41-Y41*(W41/X41)</f>
        <v>202.49598263876027</v>
      </c>
      <c r="Q41" s="14">
        <f>P41*$L$30</f>
        <v>253.11997829845035</v>
      </c>
      <c r="R41" s="36">
        <f>R36</f>
        <v>20</v>
      </c>
      <c r="S41" s="19" t="s">
        <v>186</v>
      </c>
      <c r="T41" s="155">
        <f>D37</f>
        <v>0.16713228844233463</v>
      </c>
      <c r="U41" s="156">
        <f>J37</f>
        <v>223.85217506631108</v>
      </c>
      <c r="V41" s="6"/>
      <c r="W41" s="157">
        <f>T41-O41</f>
        <v>1.1373507178629672E-2</v>
      </c>
      <c r="X41" s="157">
        <f>D34-D33</f>
        <v>8.9866457187745538E-2</v>
      </c>
      <c r="Y41" s="12">
        <f>I34</f>
        <v>168.74349506631108</v>
      </c>
    </row>
    <row r="42" spans="1:25" x14ac:dyDescent="0.25">
      <c r="A42" s="244"/>
      <c r="B42" s="114">
        <v>10</v>
      </c>
      <c r="C42" s="155"/>
      <c r="D42" s="155"/>
      <c r="E42" s="6"/>
      <c r="F42" s="4"/>
      <c r="G42" s="6"/>
      <c r="H42" s="6"/>
      <c r="I42" s="1"/>
      <c r="J42" s="1"/>
      <c r="K42" s="4"/>
      <c r="L42" s="4"/>
      <c r="M42" s="17"/>
    </row>
    <row r="43" spans="1:25" ht="19.5" thickBot="1" x14ac:dyDescent="0.35">
      <c r="A43" s="244"/>
      <c r="B43" s="7"/>
      <c r="C43" s="9"/>
      <c r="D43" s="10"/>
      <c r="F43" s="3"/>
      <c r="I43" s="8"/>
      <c r="J43" s="8"/>
      <c r="K43" s="3"/>
      <c r="L43" s="3"/>
      <c r="M43" s="17"/>
      <c r="N43" s="131" t="s">
        <v>188</v>
      </c>
      <c r="O43" s="129"/>
      <c r="P43" s="129"/>
      <c r="Q43" s="129"/>
      <c r="R43" s="129"/>
      <c r="S43" s="129"/>
      <c r="T43" s="129"/>
      <c r="U43" s="129"/>
      <c r="V43" s="129"/>
    </row>
    <row r="44" spans="1:25" ht="15.75" thickBot="1" x14ac:dyDescent="0.3">
      <c r="A44" s="240"/>
      <c r="C44" s="5"/>
      <c r="N44" s="313" t="s">
        <v>61</v>
      </c>
      <c r="O44" s="313" t="s">
        <v>15</v>
      </c>
      <c r="P44" s="313" t="s">
        <v>2</v>
      </c>
      <c r="Q44" s="313" t="s">
        <v>3</v>
      </c>
      <c r="R44" s="313" t="s">
        <v>4</v>
      </c>
      <c r="S44" s="313" t="s">
        <v>5</v>
      </c>
      <c r="T44" s="313" t="s">
        <v>62</v>
      </c>
      <c r="U44" s="313" t="s">
        <v>114</v>
      </c>
      <c r="V44" s="313"/>
    </row>
    <row r="45" spans="1:25" ht="15.75" thickBot="1" x14ac:dyDescent="0.3">
      <c r="A45" s="240"/>
      <c r="C45" s="5"/>
      <c r="N45" s="271"/>
      <c r="O45" s="271"/>
      <c r="P45" s="271"/>
      <c r="Q45" s="271"/>
      <c r="R45" s="271"/>
      <c r="S45" s="271"/>
      <c r="T45" s="271"/>
      <c r="U45" s="146" t="s">
        <v>115</v>
      </c>
      <c r="V45" s="146" t="s">
        <v>116</v>
      </c>
    </row>
    <row r="46" spans="1:25" ht="15.75" thickBot="1" x14ac:dyDescent="0.3">
      <c r="A46" s="240"/>
      <c r="C46" s="5"/>
      <c r="N46" s="148">
        <f>P34</f>
        <v>0</v>
      </c>
      <c r="O46" s="148">
        <f>P35</f>
        <v>175.60922285448407</v>
      </c>
      <c r="P46" s="148">
        <f>P36</f>
        <v>191.68263906019007</v>
      </c>
      <c r="Q46" s="148">
        <f>P37</f>
        <v>277.9816552535089</v>
      </c>
      <c r="R46" s="202">
        <f>P38</f>
        <v>508.45441877001502</v>
      </c>
      <c r="S46" s="203">
        <f>P39</f>
        <v>0</v>
      </c>
      <c r="T46" s="203">
        <f>P40</f>
        <v>0</v>
      </c>
      <c r="U46" s="201">
        <f>MAX(O34:O40)</f>
        <v>0.2340447879722958</v>
      </c>
      <c r="V46" s="148">
        <f>MAX(N46:T46)</f>
        <v>508.45441877001502</v>
      </c>
    </row>
    <row r="47" spans="1:25" x14ac:dyDescent="0.25">
      <c r="A47" s="240"/>
      <c r="C47" s="5"/>
    </row>
    <row r="48" spans="1:25" s="196" customFormat="1" x14ac:dyDescent="0.25">
      <c r="A48" s="242"/>
      <c r="C48" s="204"/>
      <c r="O48" s="198"/>
      <c r="P48" s="199"/>
    </row>
    <row r="49" spans="1:25" s="196" customFormat="1" x14ac:dyDescent="0.25">
      <c r="A49" s="242"/>
      <c r="C49" s="204"/>
      <c r="O49" s="198"/>
      <c r="P49" s="199"/>
    </row>
    <row r="50" spans="1:25" x14ac:dyDescent="0.25">
      <c r="A50" s="240"/>
      <c r="C50" s="5"/>
      <c r="O50" s="25"/>
      <c r="P50" s="23"/>
    </row>
    <row r="51" spans="1:25" ht="19.5" thickBot="1" x14ac:dyDescent="0.35">
      <c r="A51" s="240"/>
      <c r="B51" s="131" t="s">
        <v>190</v>
      </c>
      <c r="R51" s="130" t="s">
        <v>181</v>
      </c>
    </row>
    <row r="52" spans="1:25" ht="15.75" thickBot="1" x14ac:dyDescent="0.3">
      <c r="A52" s="240"/>
      <c r="E52" s="97" t="s">
        <v>54</v>
      </c>
      <c r="F52" s="29">
        <f>6.89-0.0011*P55</f>
        <v>5.2399999999999993</v>
      </c>
      <c r="H52" t="s">
        <v>175</v>
      </c>
      <c r="I52" s="99" t="s">
        <v>63</v>
      </c>
      <c r="L52" s="129" t="s">
        <v>180</v>
      </c>
      <c r="R52" s="138" t="s">
        <v>173</v>
      </c>
    </row>
    <row r="53" spans="1:25" ht="36" customHeight="1" thickBot="1" x14ac:dyDescent="0.35">
      <c r="A53" s="240"/>
      <c r="B53" s="304" t="s">
        <v>193</v>
      </c>
      <c r="C53" s="305"/>
      <c r="D53" s="306" t="s">
        <v>75</v>
      </c>
      <c r="E53" s="306"/>
      <c r="F53" s="306"/>
      <c r="G53" s="306"/>
      <c r="H53" s="306"/>
      <c r="I53" s="306"/>
      <c r="J53" s="306"/>
      <c r="K53" s="306"/>
      <c r="L53" s="100">
        <v>1.25</v>
      </c>
      <c r="N53" s="131" t="s">
        <v>189</v>
      </c>
      <c r="Q53" s="137" t="s">
        <v>182</v>
      </c>
      <c r="R53" s="137" t="s">
        <v>183</v>
      </c>
    </row>
    <row r="54" spans="1:25" ht="67.5" customHeight="1" thickBot="1" x14ac:dyDescent="0.3">
      <c r="A54" s="240"/>
      <c r="B54" s="299" t="s">
        <v>53</v>
      </c>
      <c r="C54" s="299" t="s">
        <v>17</v>
      </c>
      <c r="D54" s="299" t="s">
        <v>18</v>
      </c>
      <c r="E54" s="299" t="s">
        <v>19</v>
      </c>
      <c r="F54" s="307" t="s">
        <v>28</v>
      </c>
      <c r="G54" s="308"/>
      <c r="H54" s="309"/>
      <c r="I54" s="301" t="s">
        <v>26</v>
      </c>
      <c r="J54" s="302"/>
      <c r="K54" s="297" t="s">
        <v>52</v>
      </c>
      <c r="L54" s="297" t="s">
        <v>34</v>
      </c>
      <c r="N54" s="102" t="s">
        <v>11</v>
      </c>
      <c r="O54" s="103" t="s">
        <v>0</v>
      </c>
      <c r="P54" s="104" t="s">
        <v>55</v>
      </c>
      <c r="Q54" s="101" t="s">
        <v>97</v>
      </c>
      <c r="R54" s="101" t="s">
        <v>98</v>
      </c>
      <c r="S54" s="105" t="s">
        <v>1</v>
      </c>
    </row>
    <row r="55" spans="1:25" ht="25.5" x14ac:dyDescent="0.25">
      <c r="A55" s="240"/>
      <c r="B55" s="300"/>
      <c r="C55" s="300"/>
      <c r="D55" s="300"/>
      <c r="E55" s="300"/>
      <c r="F55" s="106" t="s">
        <v>27</v>
      </c>
      <c r="G55" s="106" t="s">
        <v>29</v>
      </c>
      <c r="H55" s="128" t="s">
        <v>176</v>
      </c>
      <c r="I55" s="106" t="s">
        <v>25</v>
      </c>
      <c r="J55" s="107" t="s">
        <v>24</v>
      </c>
      <c r="K55" s="298"/>
      <c r="L55" s="298"/>
      <c r="N55" s="108" t="s">
        <v>45</v>
      </c>
      <c r="O55" s="109">
        <v>5.9555111989712486E-2</v>
      </c>
      <c r="P55" s="110">
        <v>1500</v>
      </c>
      <c r="Q55" s="111">
        <v>20</v>
      </c>
      <c r="R55" s="160">
        <f>Q55</f>
        <v>20</v>
      </c>
      <c r="S55" s="112" t="s">
        <v>12</v>
      </c>
    </row>
    <row r="56" spans="1:25" ht="30" x14ac:dyDescent="0.25">
      <c r="A56" s="240"/>
      <c r="B56" s="114">
        <v>1</v>
      </c>
      <c r="C56" s="114">
        <v>5.2399999999999993</v>
      </c>
      <c r="D56" s="121">
        <v>0</v>
      </c>
      <c r="E56" s="161" t="s">
        <v>20</v>
      </c>
      <c r="F56" s="127" t="s">
        <v>126</v>
      </c>
      <c r="G56" s="161" t="s">
        <v>20</v>
      </c>
      <c r="H56" s="134" t="s">
        <v>173</v>
      </c>
      <c r="I56" s="127">
        <v>0</v>
      </c>
      <c r="J56" s="127">
        <v>0</v>
      </c>
      <c r="K56" s="205">
        <f>1642.12*$K$1</f>
        <v>1651.97272</v>
      </c>
      <c r="L56" s="31">
        <f>K56*$L$53</f>
        <v>2064.9659000000001</v>
      </c>
      <c r="N56" s="116" t="s">
        <v>56</v>
      </c>
      <c r="O56" s="116" t="s">
        <v>57</v>
      </c>
      <c r="P56" s="116" t="s">
        <v>58</v>
      </c>
      <c r="Q56" s="116" t="s">
        <v>96</v>
      </c>
      <c r="R56" s="116" t="s">
        <v>99</v>
      </c>
      <c r="S56" s="139" t="s">
        <v>184</v>
      </c>
      <c r="T56" s="317" t="s">
        <v>59</v>
      </c>
      <c r="U56" s="317"/>
      <c r="V56" s="317"/>
      <c r="W56" s="317"/>
      <c r="X56" s="317"/>
      <c r="Y56" s="317"/>
    </row>
    <row r="57" spans="1:25" ht="15.75" customHeight="1" x14ac:dyDescent="0.25">
      <c r="A57" s="240"/>
      <c r="B57" s="114">
        <v>2</v>
      </c>
      <c r="C57" s="117">
        <f>ROUND($C$56*(1-D57),2)</f>
        <v>5.15</v>
      </c>
      <c r="D57" s="162">
        <v>1.6252072968490877E-2</v>
      </c>
      <c r="E57" s="6" t="s">
        <v>47</v>
      </c>
      <c r="F57" s="4">
        <v>31.13</v>
      </c>
      <c r="G57" s="6" t="s">
        <v>32</v>
      </c>
      <c r="H57" s="154" t="s">
        <v>177</v>
      </c>
      <c r="I57" s="4">
        <f>21.5*$K$1</f>
        <v>21.629000000000001</v>
      </c>
      <c r="J57" s="1">
        <f t="shared" ref="J57:J62" si="13">J56+I57</f>
        <v>21.629000000000001</v>
      </c>
      <c r="K57" s="4">
        <f t="shared" ref="K57:K62" si="14">$K$56+J57</f>
        <v>1673.6017199999999</v>
      </c>
      <c r="L57" s="4">
        <f t="shared" ref="L57:L62" si="15">K57*$L$53</f>
        <v>2092.0021499999998</v>
      </c>
      <c r="N57" s="118" t="s">
        <v>61</v>
      </c>
      <c r="O57" s="119">
        <v>0</v>
      </c>
      <c r="P57" s="14">
        <f>I56</f>
        <v>0</v>
      </c>
      <c r="Q57" s="14">
        <f>L56</f>
        <v>2064.9659000000001</v>
      </c>
      <c r="R57" s="19">
        <f>IF($Q$55=$R$55,$R$55,IF(RIGHT(N57)&gt;=RIGHT($R$52),$R$55,$Q$55))</f>
        <v>20</v>
      </c>
      <c r="S57" s="19" t="s">
        <v>173</v>
      </c>
      <c r="T57" s="143"/>
      <c r="U57" s="143"/>
      <c r="V57" s="143"/>
      <c r="W57" s="143"/>
      <c r="X57" s="143"/>
      <c r="Y57" s="143"/>
    </row>
    <row r="58" spans="1:25" x14ac:dyDescent="0.25">
      <c r="A58" s="240"/>
      <c r="B58" s="114">
        <v>3</v>
      </c>
      <c r="C58" s="117">
        <f t="shared" ref="C58:C62" si="16">ROUND($C$56*(1-D58),2)</f>
        <v>5.0599999999999996</v>
      </c>
      <c r="D58" s="162">
        <v>3.4350972410673898E-2</v>
      </c>
      <c r="E58" s="6" t="s">
        <v>48</v>
      </c>
      <c r="F58" s="4">
        <v>52.62</v>
      </c>
      <c r="G58" s="6" t="s">
        <v>32</v>
      </c>
      <c r="H58" s="154" t="s">
        <v>178</v>
      </c>
      <c r="I58" s="4">
        <f>18.28*$K$1</f>
        <v>18.389680000000002</v>
      </c>
      <c r="J58" s="1">
        <f t="shared" si="13"/>
        <v>40.018680000000003</v>
      </c>
      <c r="K58" s="4">
        <f t="shared" si="14"/>
        <v>1691.9913999999999</v>
      </c>
      <c r="L58" s="4">
        <f t="shared" si="15"/>
        <v>2114.9892499999996</v>
      </c>
      <c r="N58" s="118" t="s">
        <v>15</v>
      </c>
      <c r="O58" s="119">
        <v>0.1</v>
      </c>
      <c r="P58" s="177">
        <f>U58-Y58*(W58/X58)</f>
        <v>405.69195288677258</v>
      </c>
      <c r="Q58" s="14">
        <f>P58*$L$53</f>
        <v>507.1149411084657</v>
      </c>
      <c r="R58" s="19">
        <f>IF($Q$55=$R$55,$R$55,IF(RIGHT(N58)&gt;=RIGHT($R$52),$R$55,$Q$55))</f>
        <v>20</v>
      </c>
      <c r="S58" s="19" t="s">
        <v>186</v>
      </c>
      <c r="T58" s="163">
        <f>D62</f>
        <v>0.11760359678193461</v>
      </c>
      <c r="U58" s="2">
        <f>J62</f>
        <v>444.74363570190576</v>
      </c>
      <c r="V58" s="6"/>
      <c r="W58" s="157">
        <f>T58-O58</f>
        <v>1.76035967819346E-2</v>
      </c>
      <c r="X58" s="157">
        <f>D60-D59</f>
        <v>3.1E-2</v>
      </c>
      <c r="Y58" s="12">
        <f>I60</f>
        <v>68.770160000000004</v>
      </c>
    </row>
    <row r="59" spans="1:25" x14ac:dyDescent="0.25">
      <c r="A59" s="240"/>
      <c r="B59" s="114">
        <v>4</v>
      </c>
      <c r="C59" s="117">
        <f t="shared" si="16"/>
        <v>4.99</v>
      </c>
      <c r="D59" s="162">
        <v>4.7288343772038208E-2</v>
      </c>
      <c r="E59" s="6" t="s">
        <v>127</v>
      </c>
      <c r="F59" s="4">
        <v>522.45364399437415</v>
      </c>
      <c r="G59" s="6" t="s">
        <v>30</v>
      </c>
      <c r="H59" s="154" t="s">
        <v>177</v>
      </c>
      <c r="I59" s="229">
        <f>(F12*1.05^((LOG(7.16/7)/LOG(1.02)))-F12)*$K$1</f>
        <v>18.751569529066629</v>
      </c>
      <c r="J59" s="1">
        <f t="shared" si="13"/>
        <v>58.770249529066632</v>
      </c>
      <c r="K59" s="4">
        <f t="shared" si="14"/>
        <v>1710.7429695290666</v>
      </c>
      <c r="L59" s="4">
        <f t="shared" si="15"/>
        <v>2138.4287119113333</v>
      </c>
      <c r="N59" s="118" t="s">
        <v>2</v>
      </c>
      <c r="O59" s="119">
        <f>D62</f>
        <v>0.11760359678193461</v>
      </c>
      <c r="P59" s="14">
        <f>J62</f>
        <v>444.74363570190576</v>
      </c>
      <c r="Q59" s="14">
        <f t="shared" ref="Q59" si="17">P59*$L$53</f>
        <v>555.92954462738226</v>
      </c>
      <c r="R59" s="19">
        <f>IF($Q$55=$R$55,$R$55,IF(RIGHT(N59)&gt;=RIGHT($R$52),$R$55,$Q$55))</f>
        <v>20</v>
      </c>
      <c r="S59" s="19" t="s">
        <v>132</v>
      </c>
      <c r="T59" s="2"/>
      <c r="U59" s="2"/>
      <c r="V59" s="6"/>
      <c r="W59" s="6"/>
      <c r="X59" s="6"/>
      <c r="Y59" s="6"/>
    </row>
    <row r="60" spans="1:25" x14ac:dyDescent="0.25">
      <c r="A60" s="240"/>
      <c r="B60" s="114">
        <v>5</v>
      </c>
      <c r="C60" s="117">
        <f t="shared" si="16"/>
        <v>4.83</v>
      </c>
      <c r="D60" s="162">
        <v>7.8288343772038207E-2</v>
      </c>
      <c r="E60" s="6" t="s">
        <v>69</v>
      </c>
      <c r="F60" s="4">
        <v>130.76</v>
      </c>
      <c r="G60" s="6" t="s">
        <v>31</v>
      </c>
      <c r="H60" s="154" t="s">
        <v>177</v>
      </c>
      <c r="I60" s="4">
        <f>68.36*$K$1</f>
        <v>68.770160000000004</v>
      </c>
      <c r="J60" s="1">
        <f t="shared" si="13"/>
        <v>127.54040952906664</v>
      </c>
      <c r="K60" s="4">
        <f t="shared" si="14"/>
        <v>1779.5131295290666</v>
      </c>
      <c r="L60" s="4">
        <f t="shared" si="15"/>
        <v>2224.3914119113333</v>
      </c>
      <c r="N60" s="118" t="s">
        <v>3</v>
      </c>
      <c r="O60" s="119"/>
      <c r="P60" s="122"/>
      <c r="Q60" s="14"/>
      <c r="R60" s="19"/>
      <c r="S60" s="19"/>
      <c r="T60" s="2"/>
      <c r="U60" s="2"/>
      <c r="V60" s="6"/>
      <c r="W60" s="6"/>
      <c r="X60" s="6"/>
      <c r="Y60" s="6"/>
    </row>
    <row r="61" spans="1:25" x14ac:dyDescent="0.25">
      <c r="A61" s="240"/>
      <c r="B61" s="114">
        <v>6</v>
      </c>
      <c r="C61" s="117">
        <f t="shared" si="16"/>
        <v>4.8099999999999996</v>
      </c>
      <c r="D61" s="162">
        <v>8.1793545038433502E-2</v>
      </c>
      <c r="E61" s="6" t="s">
        <v>49</v>
      </c>
      <c r="F61" s="4">
        <v>15.67</v>
      </c>
      <c r="G61" s="6" t="s">
        <v>33</v>
      </c>
      <c r="H61" s="154" t="s">
        <v>178</v>
      </c>
      <c r="I61" s="4">
        <f>20.62*$K$1</f>
        <v>20.74372</v>
      </c>
      <c r="J61" s="1">
        <f t="shared" si="13"/>
        <v>148.28412952906663</v>
      </c>
      <c r="K61" s="4">
        <f t="shared" si="14"/>
        <v>1800.2568495290666</v>
      </c>
      <c r="L61" s="4">
        <f t="shared" si="15"/>
        <v>2250.3210619113333</v>
      </c>
      <c r="N61" s="118" t="s">
        <v>4</v>
      </c>
      <c r="O61" s="123"/>
      <c r="P61" s="122"/>
      <c r="Q61" s="14"/>
      <c r="R61" s="19"/>
      <c r="S61" s="19"/>
      <c r="T61" s="121"/>
      <c r="U61" s="13"/>
      <c r="V61" s="114"/>
      <c r="W61" s="121"/>
      <c r="X61" s="121"/>
      <c r="Y61" s="13"/>
    </row>
    <row r="62" spans="1:25" x14ac:dyDescent="0.25">
      <c r="A62" s="240"/>
      <c r="B62" s="114">
        <v>7</v>
      </c>
      <c r="C62" s="117">
        <f t="shared" si="16"/>
        <v>4.62</v>
      </c>
      <c r="D62" s="162">
        <v>0.11760359678193461</v>
      </c>
      <c r="E62" s="6" t="s">
        <v>50</v>
      </c>
      <c r="F62" s="4" t="s">
        <v>126</v>
      </c>
      <c r="G62" s="6" t="s">
        <v>50</v>
      </c>
      <c r="H62" s="154" t="s">
        <v>177</v>
      </c>
      <c r="I62" s="4">
        <f>294.691358024691*$K$1</f>
        <v>296.45950617283916</v>
      </c>
      <c r="J62" s="1">
        <f t="shared" si="13"/>
        <v>444.74363570190576</v>
      </c>
      <c r="K62" s="4">
        <f t="shared" si="14"/>
        <v>2096.7163557019057</v>
      </c>
      <c r="L62" s="4">
        <f t="shared" si="15"/>
        <v>2620.8954446273819</v>
      </c>
      <c r="N62" s="118" t="s">
        <v>5</v>
      </c>
      <c r="O62" s="119"/>
      <c r="P62" s="13"/>
      <c r="Q62" s="14"/>
      <c r="R62" s="19"/>
      <c r="S62" s="19"/>
      <c r="T62" s="121"/>
      <c r="U62" s="13"/>
      <c r="V62" s="114"/>
      <c r="W62" s="121"/>
      <c r="X62" s="121"/>
      <c r="Y62" s="13"/>
    </row>
    <row r="63" spans="1:25" x14ac:dyDescent="0.25">
      <c r="A63" s="240"/>
      <c r="B63" s="114">
        <v>8</v>
      </c>
      <c r="C63" s="124"/>
      <c r="D63" s="162"/>
      <c r="E63" s="6"/>
      <c r="F63" s="1"/>
      <c r="G63" s="6"/>
      <c r="H63" s="6"/>
      <c r="I63" s="4"/>
      <c r="J63" s="1"/>
      <c r="K63" s="4"/>
      <c r="L63" s="4"/>
      <c r="N63" s="118" t="s">
        <v>62</v>
      </c>
      <c r="O63" s="123"/>
      <c r="P63" s="15"/>
      <c r="Q63" s="14"/>
      <c r="R63" s="19"/>
      <c r="S63" s="19"/>
      <c r="T63" s="121"/>
      <c r="U63" s="121"/>
      <c r="V63" s="13"/>
      <c r="W63" s="114"/>
      <c r="X63" s="114"/>
      <c r="Y63" s="114"/>
    </row>
    <row r="64" spans="1:25" x14ac:dyDescent="0.25">
      <c r="A64" s="240"/>
      <c r="B64" s="114">
        <v>9</v>
      </c>
      <c r="C64" s="124"/>
      <c r="D64" s="6"/>
      <c r="E64" s="6"/>
      <c r="F64" s="6"/>
      <c r="G64" s="6"/>
      <c r="H64" s="6"/>
      <c r="I64" s="6"/>
      <c r="J64" s="6"/>
      <c r="K64" s="6"/>
      <c r="L64" s="6"/>
      <c r="N64" s="164"/>
      <c r="O64" s="158"/>
      <c r="P64" s="16"/>
      <c r="Q64" s="16"/>
      <c r="R64" s="16"/>
      <c r="S64" s="36"/>
      <c r="T64" s="2"/>
      <c r="U64" s="2"/>
      <c r="V64" s="6"/>
      <c r="W64" s="6"/>
      <c r="X64" s="6"/>
      <c r="Y64" s="6"/>
    </row>
    <row r="65" spans="1:25" x14ac:dyDescent="0.25">
      <c r="A65" s="240"/>
      <c r="B65" s="114">
        <v>10</v>
      </c>
      <c r="C65" s="124"/>
      <c r="D65" s="6"/>
      <c r="E65" s="6"/>
      <c r="F65" s="6"/>
      <c r="G65" s="6"/>
      <c r="H65" s="6"/>
      <c r="I65" s="6"/>
      <c r="J65" s="6"/>
      <c r="K65" s="6"/>
      <c r="L65" s="6"/>
      <c r="N65" s="165"/>
      <c r="O65" s="166"/>
      <c r="P65" s="18"/>
      <c r="Q65" s="18"/>
      <c r="R65" s="18"/>
      <c r="S65" s="17"/>
      <c r="T65" s="17"/>
    </row>
    <row r="66" spans="1:25" ht="19.5" thickBot="1" x14ac:dyDescent="0.35">
      <c r="A66" s="240"/>
      <c r="B66" s="7"/>
      <c r="C66" s="5"/>
      <c r="N66" s="131" t="s">
        <v>188</v>
      </c>
      <c r="O66" s="129"/>
      <c r="P66" s="129"/>
      <c r="Q66" s="129"/>
      <c r="R66" s="129"/>
      <c r="S66" s="129"/>
      <c r="T66" s="129"/>
      <c r="U66" s="129"/>
      <c r="V66" s="129"/>
    </row>
    <row r="67" spans="1:25" ht="15.75" thickBot="1" x14ac:dyDescent="0.3">
      <c r="A67" s="240"/>
      <c r="B67" s="7"/>
      <c r="C67" s="5"/>
      <c r="N67" s="313" t="s">
        <v>61</v>
      </c>
      <c r="O67" s="313" t="s">
        <v>15</v>
      </c>
      <c r="P67" s="313" t="s">
        <v>2</v>
      </c>
      <c r="Q67" s="313" t="s">
        <v>3</v>
      </c>
      <c r="R67" s="313" t="s">
        <v>4</v>
      </c>
      <c r="S67" s="313" t="s">
        <v>5</v>
      </c>
      <c r="T67" s="313" t="s">
        <v>62</v>
      </c>
      <c r="U67" s="313" t="s">
        <v>114</v>
      </c>
      <c r="V67" s="313"/>
    </row>
    <row r="68" spans="1:25" ht="15.75" thickBot="1" x14ac:dyDescent="0.3">
      <c r="A68" s="240"/>
      <c r="B68" s="7"/>
      <c r="C68" s="5"/>
      <c r="N68" s="271"/>
      <c r="O68" s="271"/>
      <c r="P68" s="271"/>
      <c r="Q68" s="271"/>
      <c r="R68" s="271"/>
      <c r="S68" s="271"/>
      <c r="T68" s="271"/>
      <c r="U68" s="146" t="s">
        <v>115</v>
      </c>
      <c r="V68" s="146" t="s">
        <v>116</v>
      </c>
    </row>
    <row r="69" spans="1:25" ht="15.75" thickBot="1" x14ac:dyDescent="0.3">
      <c r="A69" s="240"/>
      <c r="B69" s="7"/>
      <c r="C69" s="5"/>
      <c r="N69" s="148">
        <f>P57</f>
        <v>0</v>
      </c>
      <c r="O69" s="148">
        <f>P58</f>
        <v>405.69195288677258</v>
      </c>
      <c r="P69" s="203">
        <f>P59</f>
        <v>444.74363570190576</v>
      </c>
      <c r="Q69" s="203">
        <f>P60</f>
        <v>0</v>
      </c>
      <c r="R69" s="202">
        <f>P61</f>
        <v>0</v>
      </c>
      <c r="S69" s="203">
        <f>P62</f>
        <v>0</v>
      </c>
      <c r="T69" s="203">
        <f>P63</f>
        <v>0</v>
      </c>
      <c r="U69" s="201">
        <f>MAX(O57:O63)</f>
        <v>0.11760359678193461</v>
      </c>
      <c r="V69" s="148">
        <f>MAX(N69:T69)</f>
        <v>444.74363570190576</v>
      </c>
    </row>
    <row r="70" spans="1:25" x14ac:dyDescent="0.25">
      <c r="A70" s="240"/>
      <c r="B70" s="7"/>
      <c r="C70" s="5"/>
      <c r="N70" s="165"/>
    </row>
    <row r="71" spans="1:25" s="196" customFormat="1" x14ac:dyDescent="0.25">
      <c r="A71" s="242"/>
    </row>
    <row r="72" spans="1:25" s="196" customFormat="1" x14ac:dyDescent="0.25">
      <c r="A72" s="242"/>
    </row>
    <row r="73" spans="1:25" x14ac:dyDescent="0.25">
      <c r="A73" s="240"/>
    </row>
    <row r="74" spans="1:25" ht="19.5" thickBot="1" x14ac:dyDescent="0.35">
      <c r="A74" s="240"/>
      <c r="B74" s="131" t="s">
        <v>190</v>
      </c>
      <c r="R74" s="130" t="s">
        <v>181</v>
      </c>
    </row>
    <row r="75" spans="1:25" ht="15.75" thickBot="1" x14ac:dyDescent="0.3">
      <c r="A75" s="240"/>
      <c r="E75" s="97" t="s">
        <v>54</v>
      </c>
      <c r="F75" s="29">
        <f>7.79-0.0055*P78</f>
        <v>6.1400000000000006</v>
      </c>
      <c r="H75" t="s">
        <v>175</v>
      </c>
      <c r="I75" s="99" t="s">
        <v>103</v>
      </c>
      <c r="L75" s="129" t="s">
        <v>180</v>
      </c>
      <c r="R75" s="101" t="s">
        <v>15</v>
      </c>
    </row>
    <row r="76" spans="1:25" ht="36" customHeight="1" thickBot="1" x14ac:dyDescent="0.35">
      <c r="A76" s="240"/>
      <c r="B76" s="304" t="s">
        <v>195</v>
      </c>
      <c r="C76" s="305"/>
      <c r="D76" s="306" t="s">
        <v>70</v>
      </c>
      <c r="E76" s="306"/>
      <c r="F76" s="306"/>
      <c r="G76" s="306"/>
      <c r="H76" s="306"/>
      <c r="I76" s="306"/>
      <c r="J76" s="306"/>
      <c r="K76" s="306"/>
      <c r="L76" s="100">
        <v>1.25</v>
      </c>
      <c r="N76" s="131" t="s">
        <v>189</v>
      </c>
      <c r="Q76" s="137" t="s">
        <v>182</v>
      </c>
      <c r="R76" s="137" t="s">
        <v>183</v>
      </c>
    </row>
    <row r="77" spans="1:25" ht="60.75" customHeight="1" thickBot="1" x14ac:dyDescent="0.3">
      <c r="A77" s="240"/>
      <c r="B77" s="299" t="s">
        <v>53</v>
      </c>
      <c r="C77" s="299" t="s">
        <v>17</v>
      </c>
      <c r="D77" s="299" t="s">
        <v>18</v>
      </c>
      <c r="E77" s="299" t="s">
        <v>19</v>
      </c>
      <c r="F77" s="307" t="s">
        <v>28</v>
      </c>
      <c r="G77" s="308"/>
      <c r="H77" s="309"/>
      <c r="I77" s="301" t="s">
        <v>26</v>
      </c>
      <c r="J77" s="302"/>
      <c r="K77" s="297" t="s">
        <v>52</v>
      </c>
      <c r="L77" s="297" t="s">
        <v>34</v>
      </c>
      <c r="N77" s="102" t="s">
        <v>6</v>
      </c>
      <c r="O77" s="103" t="s">
        <v>0</v>
      </c>
      <c r="P77" s="104" t="s">
        <v>55</v>
      </c>
      <c r="Q77" s="101" t="s">
        <v>97</v>
      </c>
      <c r="R77" s="101" t="s">
        <v>98</v>
      </c>
      <c r="S77" s="105" t="s">
        <v>1</v>
      </c>
    </row>
    <row r="78" spans="1:25" ht="25.5" x14ac:dyDescent="0.25">
      <c r="A78" s="240"/>
      <c r="B78" s="300"/>
      <c r="C78" s="300"/>
      <c r="D78" s="300"/>
      <c r="E78" s="300"/>
      <c r="F78" s="106" t="s">
        <v>27</v>
      </c>
      <c r="G78" s="106" t="s">
        <v>29</v>
      </c>
      <c r="H78" s="128" t="s">
        <v>176</v>
      </c>
      <c r="I78" s="106" t="s">
        <v>25</v>
      </c>
      <c r="J78" s="107" t="s">
        <v>24</v>
      </c>
      <c r="K78" s="298"/>
      <c r="L78" s="298"/>
      <c r="N78" s="108" t="s">
        <v>8</v>
      </c>
      <c r="O78" s="109">
        <v>0.19243986254295534</v>
      </c>
      <c r="P78" s="110">
        <v>300</v>
      </c>
      <c r="Q78" s="111">
        <v>24</v>
      </c>
      <c r="R78" s="160">
        <v>20</v>
      </c>
      <c r="S78" s="167">
        <v>152.55000000000001</v>
      </c>
    </row>
    <row r="79" spans="1:25" ht="30" x14ac:dyDescent="0.25">
      <c r="A79" s="240"/>
      <c r="B79" s="114">
        <v>1</v>
      </c>
      <c r="C79" s="206">
        <f>F75</f>
        <v>6.1400000000000006</v>
      </c>
      <c r="D79" s="121">
        <v>0</v>
      </c>
      <c r="E79" s="161" t="s">
        <v>20</v>
      </c>
      <c r="F79" s="127">
        <v>0</v>
      </c>
      <c r="G79" s="161" t="s">
        <v>20</v>
      </c>
      <c r="H79" s="134" t="s">
        <v>173</v>
      </c>
      <c r="I79" s="127">
        <v>0</v>
      </c>
      <c r="J79" s="127">
        <v>0</v>
      </c>
      <c r="K79" s="208">
        <f>892.62*$K$1</f>
        <v>897.97572000000002</v>
      </c>
      <c r="L79" s="31">
        <f t="shared" ref="L79:L84" si="18">K79*$L$76</f>
        <v>1122.46965</v>
      </c>
      <c r="N79" s="116" t="s">
        <v>56</v>
      </c>
      <c r="O79" s="116" t="s">
        <v>57</v>
      </c>
      <c r="P79" s="116" t="s">
        <v>58</v>
      </c>
      <c r="Q79" s="116" t="s">
        <v>96</v>
      </c>
      <c r="R79" s="116" t="s">
        <v>99</v>
      </c>
      <c r="S79" s="142" t="s">
        <v>184</v>
      </c>
      <c r="T79" s="314" t="s">
        <v>59</v>
      </c>
      <c r="U79" s="315"/>
      <c r="V79" s="315"/>
      <c r="W79" s="315"/>
      <c r="X79" s="315"/>
      <c r="Y79" s="316"/>
    </row>
    <row r="80" spans="1:25" x14ac:dyDescent="0.25">
      <c r="A80" s="245">
        <f>D80-D79</f>
        <v>6.7914979757085089E-2</v>
      </c>
      <c r="B80" s="114">
        <v>2</v>
      </c>
      <c r="C80" s="117">
        <f t="shared" ref="C80:C85" si="19">ROUND($C$79*(1-D80),2)</f>
        <v>5.72</v>
      </c>
      <c r="D80" s="162">
        <v>6.7914979757085089E-2</v>
      </c>
      <c r="E80" s="6" t="s">
        <v>136</v>
      </c>
      <c r="F80" s="4">
        <v>312.11</v>
      </c>
      <c r="G80" s="6" t="s">
        <v>30</v>
      </c>
      <c r="H80" s="154" t="s">
        <v>177</v>
      </c>
      <c r="I80" s="230">
        <f>(F12*1.05^((LOG(5.2/4.59)/LOG(1.02)))-F12)*$K$1</f>
        <v>117.86701379936029</v>
      </c>
      <c r="J80" s="1">
        <f t="shared" ref="J80:J85" si="20">J79+I80</f>
        <v>117.86701379936029</v>
      </c>
      <c r="K80" s="4">
        <f t="shared" ref="K80:K85" si="21">$K$79+J80</f>
        <v>1015.8427337993603</v>
      </c>
      <c r="L80" s="4">
        <f t="shared" si="18"/>
        <v>1269.8034172492003</v>
      </c>
      <c r="N80" s="118" t="s">
        <v>61</v>
      </c>
      <c r="O80" s="119">
        <v>0</v>
      </c>
      <c r="P80" s="14">
        <f>I79</f>
        <v>0</v>
      </c>
      <c r="Q80" s="14">
        <f>L79</f>
        <v>1122.46965</v>
      </c>
      <c r="R80" s="19">
        <f>IF($Q$78=$R$78,$R$78,IF(RIGHT(N80)&gt;=RIGHT($R$75),$R$78,$Q$78))</f>
        <v>24</v>
      </c>
      <c r="S80" s="19" t="s">
        <v>173</v>
      </c>
      <c r="T80" s="6"/>
      <c r="U80" s="6"/>
      <c r="V80" s="6"/>
      <c r="W80" s="6"/>
      <c r="X80" s="6"/>
      <c r="Y80" s="6"/>
    </row>
    <row r="81" spans="1:25" x14ac:dyDescent="0.25">
      <c r="A81" s="245">
        <f t="shared" ref="A81:A85" si="22">D81-D80</f>
        <v>8.1861958266452609E-2</v>
      </c>
      <c r="B81" s="114">
        <v>3</v>
      </c>
      <c r="C81" s="117">
        <f t="shared" si="19"/>
        <v>5.22</v>
      </c>
      <c r="D81" s="162">
        <v>0.1497769380235377</v>
      </c>
      <c r="E81" s="6" t="s">
        <v>144</v>
      </c>
      <c r="F81" s="4">
        <v>69.680000000000007</v>
      </c>
      <c r="G81" s="6" t="s">
        <v>31</v>
      </c>
      <c r="H81" s="154" t="s">
        <v>177</v>
      </c>
      <c r="I81" s="1">
        <f>49.1728125*$K$1</f>
        <v>49.467849375</v>
      </c>
      <c r="J81" s="1">
        <f t="shared" si="20"/>
        <v>167.33486317436029</v>
      </c>
      <c r="K81" s="4">
        <f t="shared" si="21"/>
        <v>1065.3105831743603</v>
      </c>
      <c r="L81" s="4">
        <f t="shared" si="18"/>
        <v>1331.6382289679505</v>
      </c>
      <c r="N81" s="118" t="s">
        <v>15</v>
      </c>
      <c r="O81" s="119">
        <v>0.1</v>
      </c>
      <c r="P81" s="14">
        <f>J80+(J81-J80)*(O81-D80)/(D81-D80)</f>
        <v>137.25546946522937</v>
      </c>
      <c r="Q81" s="14">
        <f>P81*$L$76</f>
        <v>171.5693368315367</v>
      </c>
      <c r="R81" s="19">
        <f>IF($Q$78=$R$78,$R$78,IF(RIGHT(N81)&gt;=RIGHT($R$75),$R$78,$Q$78))</f>
        <v>20</v>
      </c>
      <c r="S81" s="19" t="s">
        <v>186</v>
      </c>
      <c r="T81" s="163">
        <f>D82</f>
        <v>0.18348480319207716</v>
      </c>
      <c r="U81" s="2">
        <f>J82</f>
        <v>197.5148631743603</v>
      </c>
      <c r="V81" s="6"/>
      <c r="W81" s="157">
        <f>T81-O81</f>
        <v>8.3484803192077156E-2</v>
      </c>
      <c r="X81" s="157">
        <f>D81-D80</f>
        <v>8.1861958266452609E-2</v>
      </c>
      <c r="Y81" s="12">
        <f>I81</f>
        <v>49.467849375</v>
      </c>
    </row>
    <row r="82" spans="1:25" x14ac:dyDescent="0.25">
      <c r="A82" s="245">
        <f t="shared" si="22"/>
        <v>3.3707865168539464E-2</v>
      </c>
      <c r="B82" s="114">
        <v>4</v>
      </c>
      <c r="C82" s="117">
        <f t="shared" si="19"/>
        <v>5.01</v>
      </c>
      <c r="D82" s="162">
        <v>0.18348480319207716</v>
      </c>
      <c r="E82" s="6" t="s">
        <v>64</v>
      </c>
      <c r="F82" s="4">
        <v>0</v>
      </c>
      <c r="G82" s="6" t="s">
        <v>65</v>
      </c>
      <c r="H82" s="154" t="s">
        <v>178</v>
      </c>
      <c r="I82" s="1">
        <f>30*$K$1</f>
        <v>30.18</v>
      </c>
      <c r="J82" s="1">
        <f t="shared" si="20"/>
        <v>197.5148631743603</v>
      </c>
      <c r="K82" s="4">
        <f t="shared" si="21"/>
        <v>1095.4905831743604</v>
      </c>
      <c r="L82" s="4">
        <f t="shared" si="18"/>
        <v>1369.3632289679504</v>
      </c>
      <c r="N82" s="118" t="s">
        <v>2</v>
      </c>
      <c r="O82" s="119">
        <v>0.15</v>
      </c>
      <c r="P82" s="14">
        <f>J81</f>
        <v>167.33486317436029</v>
      </c>
      <c r="Q82" s="14">
        <f>P82*$L$76</f>
        <v>209.16857896795037</v>
      </c>
      <c r="R82" s="19">
        <f>IF($Q$78=$R$78,$R$78,IF(RIGHT(N82)&gt;=RIGHT($R$75),$R$78,$Q$78))</f>
        <v>20</v>
      </c>
      <c r="S82" s="19" t="s">
        <v>185</v>
      </c>
      <c r="T82" s="2"/>
      <c r="U82" s="2"/>
      <c r="V82" s="6"/>
      <c r="W82" s="6"/>
      <c r="X82" s="6"/>
      <c r="Y82" s="6"/>
    </row>
    <row r="83" spans="1:25" x14ac:dyDescent="0.25">
      <c r="A83" s="245">
        <f t="shared" si="22"/>
        <v>8.3932845031899905E-3</v>
      </c>
      <c r="B83" s="114">
        <v>5</v>
      </c>
      <c r="C83" s="117">
        <f t="shared" si="19"/>
        <v>4.96</v>
      </c>
      <c r="D83" s="162">
        <v>0.19187808769526715</v>
      </c>
      <c r="E83" s="6" t="s">
        <v>145</v>
      </c>
      <c r="F83" s="4">
        <v>89.01935109374071</v>
      </c>
      <c r="G83" s="6" t="s">
        <v>51</v>
      </c>
      <c r="H83" s="6"/>
      <c r="I83" s="1">
        <f>9.696*$K$1</f>
        <v>9.7541759999999993</v>
      </c>
      <c r="J83" s="1">
        <f t="shared" si="20"/>
        <v>207.2690391743603</v>
      </c>
      <c r="K83" s="4">
        <f t="shared" si="21"/>
        <v>1105.2447591743603</v>
      </c>
      <c r="L83" s="4">
        <f t="shared" si="18"/>
        <v>1381.5559489679504</v>
      </c>
      <c r="N83" s="118" t="s">
        <v>3</v>
      </c>
      <c r="O83" s="119">
        <v>0.2</v>
      </c>
      <c r="P83" s="177">
        <f>U83-Y83*(W83/X83)</f>
        <v>233.28620005878784</v>
      </c>
      <c r="Q83" s="14">
        <f>P83*$L$76</f>
        <v>291.60775007348479</v>
      </c>
      <c r="R83" s="19">
        <f>IF($Q$78=$R$78,$R$78,IF(RIGHT(N83)&gt;=RIGHT($R$75),$R$78,$Q$78))</f>
        <v>20</v>
      </c>
      <c r="S83" s="19" t="s">
        <v>186</v>
      </c>
      <c r="T83" s="169">
        <f>D84</f>
        <v>0.20768519725237672</v>
      </c>
      <c r="U83" s="2">
        <f>J84</f>
        <v>242.21747917436031</v>
      </c>
      <c r="V83" s="6"/>
      <c r="W83" s="157">
        <f>T83-O83</f>
        <v>7.6851972523767076E-3</v>
      </c>
      <c r="X83" s="157">
        <f>D83-D82</f>
        <v>8.3932845031899905E-3</v>
      </c>
      <c r="Y83" s="12">
        <f>I83</f>
        <v>9.7541759999999993</v>
      </c>
    </row>
    <row r="84" spans="1:25" x14ac:dyDescent="0.25">
      <c r="A84" s="245">
        <f t="shared" si="22"/>
        <v>1.5807109557109567E-2</v>
      </c>
      <c r="B84" s="114">
        <v>6</v>
      </c>
      <c r="C84" s="117">
        <f t="shared" si="19"/>
        <v>4.8600000000000003</v>
      </c>
      <c r="D84" s="162">
        <v>0.20768519725237672</v>
      </c>
      <c r="E84" s="6" t="s">
        <v>49</v>
      </c>
      <c r="F84" s="4">
        <v>11.76</v>
      </c>
      <c r="G84" s="6" t="s">
        <v>33</v>
      </c>
      <c r="H84" s="6"/>
      <c r="I84" s="1">
        <f>34.74*$K$1</f>
        <v>34.948440000000005</v>
      </c>
      <c r="J84" s="1">
        <f t="shared" si="20"/>
        <v>242.21747917436031</v>
      </c>
      <c r="K84" s="4">
        <f t="shared" si="21"/>
        <v>1140.1931991743604</v>
      </c>
      <c r="L84" s="4">
        <f t="shared" si="18"/>
        <v>1425.2414989679505</v>
      </c>
      <c r="N84" s="118" t="s">
        <v>4</v>
      </c>
      <c r="O84" s="123">
        <f>D85</f>
        <v>0.23858547455953402</v>
      </c>
      <c r="P84" s="14">
        <f>J85</f>
        <v>460.92933102621174</v>
      </c>
      <c r="Q84" s="14">
        <f>P84*$L$76</f>
        <v>576.16166378276466</v>
      </c>
      <c r="R84" s="19">
        <f>IF($Q$78=$R$78,$R$78,IF(RIGHT(N84)&gt;=RIGHT($R$75),$R$78,$Q$78))</f>
        <v>20</v>
      </c>
      <c r="S84" s="19" t="s">
        <v>132</v>
      </c>
      <c r="T84" s="121"/>
      <c r="U84" s="14"/>
      <c r="V84" s="114"/>
      <c r="W84" s="121"/>
      <c r="X84" s="121"/>
      <c r="Y84" s="13"/>
    </row>
    <row r="85" spans="1:25" x14ac:dyDescent="0.25">
      <c r="A85" s="245">
        <f t="shared" si="22"/>
        <v>3.0900277307157303E-2</v>
      </c>
      <c r="B85" s="114">
        <v>7</v>
      </c>
      <c r="C85" s="117">
        <f t="shared" si="19"/>
        <v>4.68</v>
      </c>
      <c r="D85" s="162">
        <v>0.23858547455953402</v>
      </c>
      <c r="E85" s="6" t="s">
        <v>50</v>
      </c>
      <c r="F85" s="1">
        <v>0</v>
      </c>
      <c r="G85" s="6" t="s">
        <v>50</v>
      </c>
      <c r="H85" s="6"/>
      <c r="I85" s="1">
        <f>217.407407407407*$K$1</f>
        <v>218.71185185185143</v>
      </c>
      <c r="J85" s="1">
        <f t="shared" si="20"/>
        <v>460.92933102621174</v>
      </c>
      <c r="K85" s="4">
        <f t="shared" si="21"/>
        <v>1358.9050510262118</v>
      </c>
      <c r="L85" s="2">
        <f>K85*$L$76</f>
        <v>1698.6313137827647</v>
      </c>
      <c r="N85" s="118" t="s">
        <v>5</v>
      </c>
      <c r="O85" s="158"/>
      <c r="P85" s="178"/>
      <c r="Q85" s="16"/>
      <c r="R85" s="16"/>
      <c r="S85" s="19"/>
      <c r="T85" s="121"/>
      <c r="U85" s="121"/>
      <c r="V85" s="13"/>
      <c r="W85" s="114"/>
      <c r="X85" s="114"/>
      <c r="Y85" s="114"/>
    </row>
    <row r="86" spans="1:25" x14ac:dyDescent="0.25">
      <c r="A86" s="240"/>
      <c r="B86" s="114">
        <v>8</v>
      </c>
      <c r="C86" s="6"/>
      <c r="D86" s="6"/>
      <c r="E86" s="6"/>
      <c r="F86" s="6"/>
      <c r="G86" s="6"/>
      <c r="H86" s="6"/>
      <c r="I86" s="6"/>
      <c r="J86" s="6"/>
      <c r="K86" s="4"/>
      <c r="L86" s="6"/>
      <c r="N86" s="118" t="s">
        <v>62</v>
      </c>
      <c r="O86" s="158"/>
      <c r="P86" s="178"/>
      <c r="Q86" s="16"/>
      <c r="R86" s="16"/>
      <c r="S86" s="19"/>
      <c r="T86" s="121"/>
      <c r="U86" s="121"/>
      <c r="V86" s="13"/>
      <c r="W86" s="114"/>
      <c r="X86" s="121">
        <f>D83-D82</f>
        <v>8.3932845031899905E-3</v>
      </c>
      <c r="Y86" s="170">
        <f>I83</f>
        <v>9.7541759999999993</v>
      </c>
    </row>
    <row r="87" spans="1:25" x14ac:dyDescent="0.25">
      <c r="A87" s="240"/>
      <c r="B87" s="114">
        <v>9</v>
      </c>
      <c r="C87" s="6"/>
      <c r="D87" s="6"/>
      <c r="E87" s="6"/>
      <c r="F87" s="6"/>
      <c r="G87" s="6"/>
      <c r="H87" s="6"/>
      <c r="I87" s="6"/>
      <c r="J87" s="6"/>
      <c r="K87" s="4"/>
      <c r="L87" s="6"/>
      <c r="N87" s="125" t="s">
        <v>187</v>
      </c>
      <c r="O87" s="126">
        <f>O415</f>
        <v>0.2154482017703632</v>
      </c>
      <c r="P87" s="177">
        <f>U87-Y87*(W87/X87)-Y86</f>
        <v>442.26560280973911</v>
      </c>
      <c r="Q87" s="14">
        <f>P87*$L$76</f>
        <v>552.83200351217386</v>
      </c>
      <c r="R87" s="19">
        <f>IF($Q$78=$R$78,$R$78,IF(RIGHT(N87)&gt;=RIGHT($R$75),$R$78,$Q$78))</f>
        <v>20</v>
      </c>
      <c r="S87" s="19" t="s">
        <v>186</v>
      </c>
      <c r="T87" s="169">
        <f>D85</f>
        <v>0.23858547455953402</v>
      </c>
      <c r="U87" s="2">
        <f>J85</f>
        <v>460.92933102621174</v>
      </c>
      <c r="V87" s="6"/>
      <c r="W87" s="157">
        <f>T87-O87-X86</f>
        <v>1.4743988285980836E-2</v>
      </c>
      <c r="X87" s="157">
        <f>D81-D80</f>
        <v>8.1861958266452609E-2</v>
      </c>
      <c r="Y87" s="12">
        <f>I81</f>
        <v>49.467849375</v>
      </c>
    </row>
    <row r="88" spans="1:25" x14ac:dyDescent="0.25">
      <c r="A88" s="240"/>
      <c r="B88" s="114">
        <v>10</v>
      </c>
      <c r="C88" s="6"/>
      <c r="D88" s="6"/>
      <c r="E88" s="6"/>
      <c r="F88" s="6"/>
      <c r="G88" s="6"/>
      <c r="H88" s="6"/>
      <c r="I88" s="6"/>
      <c r="J88" s="6"/>
      <c r="K88" s="4"/>
      <c r="L88" s="6"/>
    </row>
    <row r="89" spans="1:25" ht="19.5" thickBot="1" x14ac:dyDescent="0.35">
      <c r="A89" s="240"/>
      <c r="B89" s="7"/>
      <c r="K89" s="3"/>
      <c r="N89" s="131" t="s">
        <v>188</v>
      </c>
      <c r="O89" s="129"/>
      <c r="P89" s="129"/>
      <c r="Q89" s="129"/>
      <c r="R89" s="129"/>
      <c r="S89" s="129"/>
      <c r="T89" s="129"/>
      <c r="U89" s="129"/>
      <c r="V89" s="129"/>
    </row>
    <row r="90" spans="1:25" ht="15.75" customHeight="1" thickBot="1" x14ac:dyDescent="0.3">
      <c r="A90" s="240"/>
      <c r="B90" s="7"/>
      <c r="K90" s="3"/>
      <c r="N90" s="313" t="s">
        <v>61</v>
      </c>
      <c r="O90" s="313" t="s">
        <v>15</v>
      </c>
      <c r="P90" s="313" t="s">
        <v>2</v>
      </c>
      <c r="Q90" s="313" t="s">
        <v>3</v>
      </c>
      <c r="R90" s="313" t="s">
        <v>4</v>
      </c>
      <c r="S90" s="313" t="s">
        <v>5</v>
      </c>
      <c r="T90" s="313" t="s">
        <v>62</v>
      </c>
      <c r="U90" s="313" t="s">
        <v>114</v>
      </c>
      <c r="V90" s="313"/>
    </row>
    <row r="91" spans="1:25" ht="15.75" thickBot="1" x14ac:dyDescent="0.3">
      <c r="A91" s="240"/>
      <c r="B91" s="7"/>
      <c r="K91" s="3"/>
      <c r="N91" s="271"/>
      <c r="O91" s="271"/>
      <c r="P91" s="271"/>
      <c r="Q91" s="271"/>
      <c r="R91" s="271"/>
      <c r="S91" s="271"/>
      <c r="T91" s="271"/>
      <c r="U91" s="146" t="s">
        <v>115</v>
      </c>
      <c r="V91" s="146" t="s">
        <v>116</v>
      </c>
    </row>
    <row r="92" spans="1:25" ht="15.75" thickBot="1" x14ac:dyDescent="0.3">
      <c r="A92" s="240"/>
      <c r="B92" s="7"/>
      <c r="K92" s="3"/>
      <c r="N92" s="212">
        <f>P80</f>
        <v>0</v>
      </c>
      <c r="O92" s="212">
        <f>P81</f>
        <v>137.25546946522937</v>
      </c>
      <c r="P92" s="212">
        <f>P82</f>
        <v>167.33486317436029</v>
      </c>
      <c r="Q92" s="212">
        <f>P83</f>
        <v>233.28620005878784</v>
      </c>
      <c r="R92" s="222">
        <f>P84</f>
        <v>460.92933102621174</v>
      </c>
      <c r="S92" s="222">
        <f>P85</f>
        <v>0</v>
      </c>
      <c r="T92" s="222">
        <f>P86</f>
        <v>0</v>
      </c>
      <c r="U92" s="201">
        <f>MAX(O80:O86)</f>
        <v>0.23858547455953402</v>
      </c>
      <c r="V92" s="213">
        <f>MAX(N92:T92)</f>
        <v>460.92933102621174</v>
      </c>
    </row>
    <row r="93" spans="1:25" x14ac:dyDescent="0.25">
      <c r="A93" s="240"/>
      <c r="B93" s="7"/>
      <c r="K93" s="3"/>
      <c r="O93" s="25"/>
      <c r="P93" s="23"/>
    </row>
    <row r="94" spans="1:25" s="196" customFormat="1" x14ac:dyDescent="0.25">
      <c r="A94" s="242"/>
      <c r="B94" s="210"/>
      <c r="K94" s="211"/>
      <c r="O94" s="198"/>
      <c r="P94" s="199"/>
    </row>
    <row r="95" spans="1:25" s="196" customFormat="1" x14ac:dyDescent="0.25">
      <c r="A95" s="242"/>
      <c r="B95" s="210"/>
      <c r="K95" s="211"/>
      <c r="O95" s="198"/>
      <c r="P95" s="199"/>
    </row>
    <row r="96" spans="1:25" x14ac:dyDescent="0.25">
      <c r="A96" s="240"/>
      <c r="B96" s="7"/>
      <c r="K96" s="3"/>
      <c r="O96" s="25"/>
      <c r="P96" s="23"/>
    </row>
    <row r="97" spans="1:25" ht="19.5" thickBot="1" x14ac:dyDescent="0.35">
      <c r="A97" s="240"/>
      <c r="B97" s="131" t="s">
        <v>190</v>
      </c>
      <c r="K97" s="3"/>
      <c r="R97" s="130" t="s">
        <v>181</v>
      </c>
    </row>
    <row r="98" spans="1:25" ht="15.75" thickBot="1" x14ac:dyDescent="0.3">
      <c r="A98" s="240"/>
      <c r="B98" s="7"/>
      <c r="E98" s="97" t="s">
        <v>54</v>
      </c>
      <c r="F98" s="9">
        <f>5.58-0.0011*P101</f>
        <v>4.6449999999999996</v>
      </c>
      <c r="H98" t="s">
        <v>175</v>
      </c>
      <c r="I98" s="99" t="s">
        <v>76</v>
      </c>
      <c r="L98" s="129" t="s">
        <v>180</v>
      </c>
      <c r="R98" s="138" t="s">
        <v>173</v>
      </c>
    </row>
    <row r="99" spans="1:25" ht="36" customHeight="1" thickBot="1" x14ac:dyDescent="0.35">
      <c r="A99" s="240"/>
      <c r="B99" s="304" t="s">
        <v>41</v>
      </c>
      <c r="C99" s="305"/>
      <c r="D99" s="303" t="s">
        <v>72</v>
      </c>
      <c r="E99" s="303"/>
      <c r="F99" s="303"/>
      <c r="G99" s="303"/>
      <c r="H99" s="303"/>
      <c r="I99" s="303"/>
      <c r="J99" s="303"/>
      <c r="K99" s="303"/>
      <c r="L99" s="100">
        <v>1.25</v>
      </c>
      <c r="N99" s="131" t="s">
        <v>189</v>
      </c>
      <c r="Q99" s="137" t="s">
        <v>182</v>
      </c>
      <c r="R99" s="137" t="s">
        <v>183</v>
      </c>
    </row>
    <row r="100" spans="1:25" ht="69" customHeight="1" thickBot="1" x14ac:dyDescent="0.3">
      <c r="A100" s="240"/>
      <c r="B100" s="299" t="s">
        <v>53</v>
      </c>
      <c r="C100" s="299" t="s">
        <v>17</v>
      </c>
      <c r="D100" s="299" t="s">
        <v>18</v>
      </c>
      <c r="E100" s="299" t="s">
        <v>19</v>
      </c>
      <c r="F100" s="307" t="s">
        <v>28</v>
      </c>
      <c r="G100" s="308"/>
      <c r="H100" s="309"/>
      <c r="I100" s="301" t="s">
        <v>26</v>
      </c>
      <c r="J100" s="302"/>
      <c r="K100" s="297" t="s">
        <v>52</v>
      </c>
      <c r="L100" s="297" t="s">
        <v>34</v>
      </c>
      <c r="N100" s="102" t="s">
        <v>6</v>
      </c>
      <c r="O100" s="103" t="s">
        <v>0</v>
      </c>
      <c r="P100" s="104" t="s">
        <v>55</v>
      </c>
      <c r="Q100" s="101" t="s">
        <v>97</v>
      </c>
      <c r="R100" s="101" t="s">
        <v>98</v>
      </c>
      <c r="S100" s="105" t="s">
        <v>1</v>
      </c>
    </row>
    <row r="101" spans="1:25" ht="25.5" x14ac:dyDescent="0.25">
      <c r="A101" s="240"/>
      <c r="B101" s="300"/>
      <c r="C101" s="300"/>
      <c r="D101" s="300"/>
      <c r="E101" s="300"/>
      <c r="F101" s="106" t="s">
        <v>27</v>
      </c>
      <c r="G101" s="106" t="s">
        <v>29</v>
      </c>
      <c r="H101" s="128" t="s">
        <v>176</v>
      </c>
      <c r="I101" s="106" t="s">
        <v>25</v>
      </c>
      <c r="J101" s="107" t="s">
        <v>24</v>
      </c>
      <c r="K101" s="298"/>
      <c r="L101" s="298"/>
      <c r="N101" s="108" t="s">
        <v>9</v>
      </c>
      <c r="O101" s="109">
        <v>0.14251414851654939</v>
      </c>
      <c r="P101" s="110">
        <v>850</v>
      </c>
      <c r="Q101" s="111">
        <v>19.7</v>
      </c>
      <c r="R101" s="160">
        <f>Q101</f>
        <v>19.7</v>
      </c>
      <c r="S101" s="167">
        <v>153</v>
      </c>
    </row>
    <row r="102" spans="1:25" ht="30" x14ac:dyDescent="0.25">
      <c r="A102" s="240"/>
      <c r="B102" s="114">
        <v>1</v>
      </c>
      <c r="C102" s="117">
        <f>F98</f>
        <v>4.6449999999999996</v>
      </c>
      <c r="D102" s="162">
        <v>0</v>
      </c>
      <c r="E102" s="6" t="s">
        <v>20</v>
      </c>
      <c r="F102" s="1">
        <v>0</v>
      </c>
      <c r="G102" s="6" t="s">
        <v>20</v>
      </c>
      <c r="H102" s="134" t="s">
        <v>173</v>
      </c>
      <c r="I102" s="1">
        <v>0</v>
      </c>
      <c r="J102" s="1">
        <v>0</v>
      </c>
      <c r="K102" s="168">
        <f>1535.86*$K$1</f>
        <v>1545.0751599999999</v>
      </c>
      <c r="L102" s="2">
        <f t="shared" ref="L102:L106" si="23">K102*$L$99</f>
        <v>1931.3439499999999</v>
      </c>
      <c r="N102" s="116" t="s">
        <v>56</v>
      </c>
      <c r="O102" s="116" t="s">
        <v>57</v>
      </c>
      <c r="P102" s="116" t="s">
        <v>58</v>
      </c>
      <c r="Q102" s="116" t="s">
        <v>96</v>
      </c>
      <c r="R102" s="116" t="s">
        <v>99</v>
      </c>
      <c r="S102" s="142" t="s">
        <v>184</v>
      </c>
      <c r="T102" s="314" t="s">
        <v>59</v>
      </c>
      <c r="U102" s="315"/>
      <c r="V102" s="315"/>
      <c r="W102" s="315"/>
      <c r="X102" s="315"/>
      <c r="Y102" s="316"/>
    </row>
    <row r="103" spans="1:25" x14ac:dyDescent="0.25">
      <c r="A103" s="240"/>
      <c r="B103" s="114">
        <v>2</v>
      </c>
      <c r="C103" s="117">
        <f>ROUND($C$102*(1-D103),2)</f>
        <v>4.4000000000000004</v>
      </c>
      <c r="D103" s="162">
        <v>5.3225806451612921E-2</v>
      </c>
      <c r="E103" s="6" t="s">
        <v>137</v>
      </c>
      <c r="F103" s="4">
        <v>419.66</v>
      </c>
      <c r="G103" s="6" t="s">
        <v>30</v>
      </c>
      <c r="H103" s="154" t="s">
        <v>177</v>
      </c>
      <c r="I103" s="229">
        <f>(F12*1.05^((LOG(6.2/5.63)/LOG(1.02)))-F12)*$K$1</f>
        <v>87.833326955959109</v>
      </c>
      <c r="J103" s="1">
        <f>J102+I103</f>
        <v>87.833326955959109</v>
      </c>
      <c r="K103" s="4">
        <f>$K$102+J103</f>
        <v>1632.908486955959</v>
      </c>
      <c r="L103" s="2">
        <f t="shared" si="23"/>
        <v>2041.1356086949488</v>
      </c>
      <c r="N103" s="118" t="s">
        <v>61</v>
      </c>
      <c r="O103" s="119">
        <v>0</v>
      </c>
      <c r="P103" s="14">
        <f>I102</f>
        <v>0</v>
      </c>
      <c r="Q103" s="14">
        <f>L102</f>
        <v>1931.3439499999999</v>
      </c>
      <c r="R103" s="19">
        <f>IF($Q$101=$R$101,$R$101,IF(RIGHT(N103)&gt;=RIGHT($R$98),$R$101,$Q$101))</f>
        <v>19.7</v>
      </c>
      <c r="S103" s="19" t="s">
        <v>173</v>
      </c>
      <c r="T103" s="6"/>
      <c r="U103" s="6"/>
      <c r="V103" s="6"/>
      <c r="W103" s="6"/>
      <c r="X103" s="6"/>
      <c r="Y103" s="6"/>
    </row>
    <row r="104" spans="1:25" x14ac:dyDescent="0.25">
      <c r="A104" s="240"/>
      <c r="B104" s="114">
        <v>3</v>
      </c>
      <c r="C104" s="117">
        <f t="shared" ref="C104:C106" si="24">ROUND($C$102*(1-D104),2)</f>
        <v>4.32</v>
      </c>
      <c r="D104" s="162">
        <v>6.9147737627781383E-2</v>
      </c>
      <c r="E104" s="6" t="s">
        <v>49</v>
      </c>
      <c r="F104" s="4">
        <v>17.579999999999998</v>
      </c>
      <c r="G104" s="6" t="s">
        <v>33</v>
      </c>
      <c r="H104" s="154" t="s">
        <v>177</v>
      </c>
      <c r="I104" s="4">
        <f>19.89*$K$1</f>
        <v>20.009340000000002</v>
      </c>
      <c r="J104" s="1">
        <f>J103+I104</f>
        <v>107.84266695595912</v>
      </c>
      <c r="K104" s="4">
        <f>$K$102+J104</f>
        <v>1652.9178269559591</v>
      </c>
      <c r="L104" s="2">
        <f t="shared" si="23"/>
        <v>2066.1472836949488</v>
      </c>
      <c r="N104" s="118" t="s">
        <v>15</v>
      </c>
      <c r="O104" s="119">
        <v>0.1</v>
      </c>
      <c r="P104" s="13">
        <f>J104+(J105-J104)*(O104-D104)/(D105-D104)</f>
        <v>178.50078873530248</v>
      </c>
      <c r="Q104" s="14">
        <f>P104*$L$99</f>
        <v>223.12598591912808</v>
      </c>
      <c r="R104" s="19">
        <f>IF($Q$101=$R$101,$R$101,IF(RIGHT(N104)&gt;=RIGHT($R$98),$R$101,$Q$101))</f>
        <v>19.7</v>
      </c>
      <c r="S104" s="19" t="s">
        <v>185</v>
      </c>
      <c r="T104" s="2"/>
      <c r="U104" s="2"/>
      <c r="V104" s="6"/>
      <c r="W104" s="6"/>
      <c r="X104" s="6"/>
      <c r="Y104" s="6"/>
    </row>
    <row r="105" spans="1:25" x14ac:dyDescent="0.25">
      <c r="A105" s="240"/>
      <c r="B105" s="114">
        <v>4</v>
      </c>
      <c r="C105" s="117">
        <f t="shared" si="24"/>
        <v>3.91</v>
      </c>
      <c r="D105" s="162">
        <v>0.15817465274165268</v>
      </c>
      <c r="E105" s="6" t="s">
        <v>138</v>
      </c>
      <c r="F105" s="4">
        <v>140.05000000000001</v>
      </c>
      <c r="G105" s="6" t="s">
        <v>31</v>
      </c>
      <c r="H105" s="154" t="s">
        <v>178</v>
      </c>
      <c r="I105" s="4">
        <f>202.674176470588*$K$1</f>
        <v>203.89022152941155</v>
      </c>
      <c r="J105" s="1">
        <f>J104+I105</f>
        <v>311.73288848537067</v>
      </c>
      <c r="K105" s="4">
        <f>$K$102+J105</f>
        <v>1856.8080484853706</v>
      </c>
      <c r="L105" s="2">
        <f t="shared" si="23"/>
        <v>2321.0100606067131</v>
      </c>
      <c r="N105" s="118" t="s">
        <v>2</v>
      </c>
      <c r="O105" s="119">
        <v>0.15</v>
      </c>
      <c r="P105" s="13">
        <f>J104+(J105-J104)*(O105-D104)/(D105-D104)</f>
        <v>293.01122710589101</v>
      </c>
      <c r="Q105" s="14">
        <f>P105*$L$99</f>
        <v>366.26403388236378</v>
      </c>
      <c r="R105" s="19">
        <f>IF($Q$101=$R$101,$R$101,IF(RIGHT(N105)&gt;=RIGHT($R$98),$R$101,$Q$101))</f>
        <v>19.7</v>
      </c>
      <c r="S105" s="19" t="s">
        <v>185</v>
      </c>
      <c r="T105" s="2"/>
      <c r="U105" s="2"/>
      <c r="V105" s="6"/>
      <c r="W105" s="6"/>
      <c r="X105" s="6"/>
      <c r="Y105" s="6"/>
    </row>
    <row r="106" spans="1:25" x14ac:dyDescent="0.25">
      <c r="A106" s="240"/>
      <c r="B106" s="114">
        <v>5</v>
      </c>
      <c r="C106" s="117">
        <f t="shared" si="24"/>
        <v>3.76</v>
      </c>
      <c r="D106" s="162">
        <v>0.19100584128472822</v>
      </c>
      <c r="E106" s="6" t="s">
        <v>50</v>
      </c>
      <c r="F106" s="4">
        <v>0</v>
      </c>
      <c r="G106" s="6" t="s">
        <v>50</v>
      </c>
      <c r="H106" s="6"/>
      <c r="I106" s="4">
        <f>224.814814814815*$K$1</f>
        <v>226.1637037037039</v>
      </c>
      <c r="J106" s="1">
        <f>J105+I106</f>
        <v>537.89659218907457</v>
      </c>
      <c r="K106" s="4">
        <f>$K$102+J106</f>
        <v>2082.9717521890743</v>
      </c>
      <c r="L106" s="2">
        <f t="shared" si="23"/>
        <v>2603.7146902363429</v>
      </c>
      <c r="N106" s="118" t="s">
        <v>3</v>
      </c>
      <c r="O106" s="119">
        <f>D106</f>
        <v>0.19100584128472822</v>
      </c>
      <c r="P106" s="14">
        <f>J106</f>
        <v>537.89659218907457</v>
      </c>
      <c r="Q106" s="14">
        <f>P106*$L$99</f>
        <v>672.37074023634318</v>
      </c>
      <c r="R106" s="19">
        <f>IF($Q$101=$R$101,$R$101,IF(RIGHT(N106)&gt;=RIGHT($R$98),$R$101,$Q$101))</f>
        <v>19.7</v>
      </c>
      <c r="S106" s="19" t="s">
        <v>132</v>
      </c>
      <c r="T106" s="2"/>
      <c r="U106" s="2"/>
      <c r="V106" s="6"/>
      <c r="W106" s="6"/>
      <c r="X106" s="6"/>
      <c r="Y106" s="6"/>
    </row>
    <row r="107" spans="1:25" x14ac:dyDescent="0.25">
      <c r="A107" s="240"/>
      <c r="B107" s="114">
        <v>6</v>
      </c>
      <c r="C107" s="117"/>
      <c r="D107" s="162"/>
      <c r="E107" s="6"/>
      <c r="F107" s="4"/>
      <c r="G107" s="6"/>
      <c r="H107" s="6"/>
      <c r="I107" s="4"/>
      <c r="J107" s="1"/>
      <c r="K107" s="4"/>
      <c r="L107" s="2"/>
      <c r="N107" s="118" t="s">
        <v>4</v>
      </c>
      <c r="O107" s="119"/>
      <c r="P107" s="13"/>
      <c r="Q107" s="13"/>
      <c r="R107" s="19"/>
      <c r="S107" s="19"/>
      <c r="T107" s="121"/>
      <c r="U107" s="13"/>
      <c r="V107" s="114"/>
      <c r="W107" s="121"/>
      <c r="X107" s="121"/>
      <c r="Y107" s="13"/>
    </row>
    <row r="108" spans="1:25" x14ac:dyDescent="0.25">
      <c r="A108" s="240"/>
      <c r="B108" s="114">
        <v>7</v>
      </c>
      <c r="C108" s="117"/>
      <c r="D108" s="162"/>
      <c r="E108" s="6"/>
      <c r="F108" s="1"/>
      <c r="G108" s="6"/>
      <c r="H108" s="6"/>
      <c r="I108" s="1"/>
      <c r="J108" s="1"/>
      <c r="K108" s="4"/>
      <c r="L108" s="2"/>
      <c r="N108" s="118" t="s">
        <v>5</v>
      </c>
      <c r="O108" s="119"/>
      <c r="P108" s="13"/>
      <c r="Q108" s="13"/>
      <c r="R108" s="19"/>
      <c r="S108" s="19"/>
      <c r="T108" s="121"/>
      <c r="U108" s="13"/>
      <c r="V108" s="114"/>
      <c r="W108" s="121"/>
      <c r="X108" s="121"/>
      <c r="Y108" s="13"/>
    </row>
    <row r="109" spans="1:25" x14ac:dyDescent="0.25">
      <c r="A109" s="240"/>
      <c r="B109" s="114">
        <v>8</v>
      </c>
      <c r="C109" s="6"/>
      <c r="D109" s="6"/>
      <c r="E109" s="6"/>
      <c r="F109" s="6"/>
      <c r="G109" s="6"/>
      <c r="H109" s="6"/>
      <c r="I109" s="6"/>
      <c r="J109" s="6"/>
      <c r="K109" s="4"/>
      <c r="L109" s="6"/>
      <c r="N109" s="118" t="s">
        <v>62</v>
      </c>
      <c r="O109" s="123"/>
      <c r="P109" s="15"/>
      <c r="Q109" s="15"/>
      <c r="R109" s="19"/>
      <c r="S109" s="19"/>
      <c r="T109" s="121"/>
      <c r="U109" s="121"/>
      <c r="V109" s="13"/>
      <c r="W109" s="114"/>
      <c r="X109" s="114"/>
      <c r="Y109" s="114"/>
    </row>
    <row r="110" spans="1:25" x14ac:dyDescent="0.25">
      <c r="A110" s="240"/>
      <c r="B110" s="114">
        <v>9</v>
      </c>
      <c r="C110" s="6"/>
      <c r="D110" s="6"/>
      <c r="E110" s="6"/>
      <c r="F110" s="6"/>
      <c r="G110" s="6"/>
      <c r="H110" s="6"/>
      <c r="I110" s="6"/>
      <c r="J110" s="6"/>
      <c r="K110" s="4"/>
      <c r="L110" s="6"/>
      <c r="N110" s="164"/>
      <c r="O110" s="158"/>
      <c r="P110" s="16"/>
      <c r="Q110" s="16"/>
      <c r="R110" s="16"/>
      <c r="S110" s="36"/>
      <c r="T110" s="2"/>
      <c r="U110" s="2"/>
      <c r="V110" s="6"/>
      <c r="W110" s="6"/>
      <c r="X110" s="6"/>
      <c r="Y110" s="6"/>
    </row>
    <row r="111" spans="1:25" x14ac:dyDescent="0.25">
      <c r="A111" s="240"/>
      <c r="B111" s="114">
        <v>10</v>
      </c>
      <c r="C111" s="6"/>
      <c r="D111" s="6"/>
      <c r="E111" s="6"/>
      <c r="F111" s="6"/>
      <c r="G111" s="6"/>
      <c r="H111" s="6"/>
      <c r="I111" s="6"/>
      <c r="J111" s="6"/>
      <c r="K111" s="4"/>
      <c r="L111" s="6"/>
    </row>
    <row r="112" spans="1:25" ht="19.5" thickBot="1" x14ac:dyDescent="0.35">
      <c r="A112" s="240"/>
      <c r="B112" s="7"/>
      <c r="K112" s="3"/>
      <c r="N112" s="131" t="s">
        <v>188</v>
      </c>
      <c r="O112" s="129"/>
      <c r="P112" s="129"/>
      <c r="Q112" s="129"/>
      <c r="R112" s="129"/>
      <c r="S112" s="129"/>
      <c r="T112" s="129"/>
      <c r="U112" s="129"/>
      <c r="V112" s="129"/>
    </row>
    <row r="113" spans="1:25" ht="15.75" customHeight="1" thickBot="1" x14ac:dyDescent="0.3">
      <c r="A113" s="240"/>
      <c r="B113" s="7"/>
      <c r="K113" s="3"/>
      <c r="N113" s="313" t="s">
        <v>61</v>
      </c>
      <c r="O113" s="313" t="s">
        <v>15</v>
      </c>
      <c r="P113" s="313" t="s">
        <v>2</v>
      </c>
      <c r="Q113" s="313" t="s">
        <v>3</v>
      </c>
      <c r="R113" s="313" t="s">
        <v>4</v>
      </c>
      <c r="S113" s="313" t="s">
        <v>5</v>
      </c>
      <c r="T113" s="313" t="s">
        <v>62</v>
      </c>
      <c r="U113" s="313" t="s">
        <v>114</v>
      </c>
      <c r="V113" s="313"/>
    </row>
    <row r="114" spans="1:25" ht="15.75" thickBot="1" x14ac:dyDescent="0.3">
      <c r="A114" s="240"/>
      <c r="B114" s="7"/>
      <c r="K114" s="3"/>
      <c r="N114" s="271"/>
      <c r="O114" s="271"/>
      <c r="P114" s="271"/>
      <c r="Q114" s="271"/>
      <c r="R114" s="271"/>
      <c r="S114" s="271"/>
      <c r="T114" s="271"/>
      <c r="U114" s="146" t="s">
        <v>115</v>
      </c>
      <c r="V114" s="146" t="s">
        <v>116</v>
      </c>
    </row>
    <row r="115" spans="1:25" ht="15.75" thickBot="1" x14ac:dyDescent="0.3">
      <c r="A115" s="240"/>
      <c r="B115" s="7"/>
      <c r="K115" s="3"/>
      <c r="N115" s="212">
        <f>P103</f>
        <v>0</v>
      </c>
      <c r="O115" s="212">
        <f>P104</f>
        <v>178.50078873530248</v>
      </c>
      <c r="P115" s="212">
        <f>P105</f>
        <v>293.01122710589101</v>
      </c>
      <c r="Q115" s="222">
        <f>P106</f>
        <v>537.89659218907457</v>
      </c>
      <c r="R115" s="222">
        <f>P107</f>
        <v>0</v>
      </c>
      <c r="S115" s="222">
        <f>P108</f>
        <v>0</v>
      </c>
      <c r="T115" s="222">
        <f>P109</f>
        <v>0</v>
      </c>
      <c r="U115" s="201">
        <f>MAX(O103:O109)</f>
        <v>0.19100584128472822</v>
      </c>
      <c r="V115" s="213">
        <f>MAX(N115:T115)</f>
        <v>537.89659218907457</v>
      </c>
    </row>
    <row r="116" spans="1:25" x14ac:dyDescent="0.25">
      <c r="A116" s="240"/>
      <c r="B116" s="7"/>
      <c r="K116" s="3"/>
    </row>
    <row r="117" spans="1:25" s="196" customFormat="1" x14ac:dyDescent="0.25">
      <c r="A117" s="242"/>
      <c r="B117" s="210"/>
      <c r="K117" s="211"/>
    </row>
    <row r="118" spans="1:25" s="196" customFormat="1" x14ac:dyDescent="0.25">
      <c r="A118" s="242"/>
      <c r="B118" s="210"/>
      <c r="K118" s="211"/>
    </row>
    <row r="119" spans="1:25" x14ac:dyDescent="0.25">
      <c r="A119" s="240"/>
      <c r="B119" s="7"/>
      <c r="K119" s="3"/>
    </row>
    <row r="120" spans="1:25" ht="19.5" thickBot="1" x14ac:dyDescent="0.35">
      <c r="A120" s="240"/>
      <c r="B120" s="131" t="s">
        <v>190</v>
      </c>
      <c r="K120" s="3"/>
      <c r="O120" s="25"/>
      <c r="P120" s="23"/>
      <c r="R120" s="130" t="s">
        <v>181</v>
      </c>
    </row>
    <row r="121" spans="1:25" ht="19.5" thickBot="1" x14ac:dyDescent="0.35">
      <c r="A121" s="240"/>
      <c r="B121" s="171"/>
      <c r="E121" s="97" t="s">
        <v>54</v>
      </c>
      <c r="F121" s="20">
        <v>4</v>
      </c>
      <c r="H121" t="s">
        <v>175</v>
      </c>
      <c r="I121" s="216" t="s">
        <v>78</v>
      </c>
      <c r="L121" s="129" t="s">
        <v>180</v>
      </c>
      <c r="R121" s="138" t="s">
        <v>173</v>
      </c>
    </row>
    <row r="122" spans="1:25" ht="36" customHeight="1" thickBot="1" x14ac:dyDescent="0.3">
      <c r="A122" s="240"/>
      <c r="B122" s="304" t="s">
        <v>77</v>
      </c>
      <c r="C122" s="305"/>
      <c r="D122" s="303" t="s">
        <v>194</v>
      </c>
      <c r="E122" s="303"/>
      <c r="F122" s="303"/>
      <c r="G122" s="303"/>
      <c r="H122" s="303"/>
      <c r="I122" s="303"/>
      <c r="J122" s="303"/>
      <c r="K122" s="303"/>
      <c r="L122" s="100">
        <v>1.25</v>
      </c>
    </row>
    <row r="123" spans="1:25" ht="69" customHeight="1" thickBot="1" x14ac:dyDescent="0.3">
      <c r="A123" s="240"/>
      <c r="B123" s="299" t="s">
        <v>53</v>
      </c>
      <c r="C123" s="299" t="s">
        <v>17</v>
      </c>
      <c r="D123" s="299" t="s">
        <v>18</v>
      </c>
      <c r="E123" s="299" t="s">
        <v>19</v>
      </c>
      <c r="F123" s="307" t="s">
        <v>28</v>
      </c>
      <c r="G123" s="308"/>
      <c r="H123" s="309"/>
      <c r="I123" s="301" t="s">
        <v>26</v>
      </c>
      <c r="J123" s="302"/>
      <c r="K123" s="297" t="s">
        <v>52</v>
      </c>
      <c r="L123" s="297" t="s">
        <v>34</v>
      </c>
      <c r="N123" s="102" t="s">
        <v>6</v>
      </c>
      <c r="O123" s="103" t="s">
        <v>0</v>
      </c>
      <c r="P123" s="104" t="s">
        <v>55</v>
      </c>
      <c r="Q123" s="101" t="s">
        <v>97</v>
      </c>
      <c r="R123" s="101" t="s">
        <v>98</v>
      </c>
      <c r="S123" s="105" t="s">
        <v>1</v>
      </c>
    </row>
    <row r="124" spans="1:25" ht="25.5" x14ac:dyDescent="0.25">
      <c r="A124" s="240"/>
      <c r="B124" s="300"/>
      <c r="C124" s="300"/>
      <c r="D124" s="300"/>
      <c r="E124" s="300"/>
      <c r="F124" s="106" t="s">
        <v>27</v>
      </c>
      <c r="G124" s="106" t="s">
        <v>29</v>
      </c>
      <c r="H124" s="128" t="s">
        <v>176</v>
      </c>
      <c r="I124" s="106" t="s">
        <v>25</v>
      </c>
      <c r="J124" s="107" t="s">
        <v>24</v>
      </c>
      <c r="K124" s="298"/>
      <c r="L124" s="298"/>
      <c r="N124" s="108" t="s">
        <v>68</v>
      </c>
      <c r="O124" s="172">
        <v>0.05</v>
      </c>
      <c r="P124" s="110">
        <v>1500</v>
      </c>
      <c r="Q124" s="111">
        <v>22.3</v>
      </c>
      <c r="R124" s="160">
        <v>22.3</v>
      </c>
      <c r="S124" s="173">
        <v>162</v>
      </c>
    </row>
    <row r="125" spans="1:25" ht="30" x14ac:dyDescent="0.25">
      <c r="A125" s="240"/>
      <c r="B125" s="114">
        <v>1</v>
      </c>
      <c r="C125" s="206">
        <f>F121</f>
        <v>4</v>
      </c>
      <c r="D125" s="121">
        <v>0</v>
      </c>
      <c r="E125" s="161" t="s">
        <v>20</v>
      </c>
      <c r="F125" s="127" t="s">
        <v>126</v>
      </c>
      <c r="G125" s="161" t="s">
        <v>20</v>
      </c>
      <c r="H125" s="134" t="s">
        <v>173</v>
      </c>
      <c r="I125" s="127">
        <v>0</v>
      </c>
      <c r="J125" s="127">
        <v>0</v>
      </c>
      <c r="K125" s="208">
        <f>1698.639224169*$K$1</f>
        <v>1708.831059514014</v>
      </c>
      <c r="L125" s="170">
        <f>K125*$L$122</f>
        <v>2136.0388243925177</v>
      </c>
      <c r="N125" s="116" t="s">
        <v>56</v>
      </c>
      <c r="O125" s="116" t="s">
        <v>57</v>
      </c>
      <c r="P125" s="116" t="s">
        <v>58</v>
      </c>
      <c r="Q125" s="116" t="s">
        <v>96</v>
      </c>
      <c r="R125" s="116"/>
      <c r="S125" s="142" t="s">
        <v>184</v>
      </c>
      <c r="T125" s="314" t="s">
        <v>59</v>
      </c>
      <c r="U125" s="315"/>
      <c r="V125" s="315"/>
      <c r="W125" s="315"/>
      <c r="X125" s="315"/>
      <c r="Y125" s="316"/>
    </row>
    <row r="126" spans="1:25" x14ac:dyDescent="0.25">
      <c r="A126" s="240"/>
      <c r="B126" s="114">
        <v>2</v>
      </c>
      <c r="C126" s="117">
        <f>ROUND($C$125*(1-D126),2)</f>
        <v>3.95</v>
      </c>
      <c r="D126" s="162">
        <v>1.2937371361364308E-2</v>
      </c>
      <c r="E126" s="6" t="s">
        <v>127</v>
      </c>
      <c r="F126" s="4">
        <v>486.91</v>
      </c>
      <c r="G126" s="6" t="s">
        <v>30</v>
      </c>
      <c r="H126" s="154" t="s">
        <v>177</v>
      </c>
      <c r="I126" s="229">
        <f>(F12*1.05^((LOG(7.16/7)/LOG(1.02)))-F12)*$K$1</f>
        <v>18.751569529066629</v>
      </c>
      <c r="J126" s="1">
        <f>J125+I126</f>
        <v>18.751569529066629</v>
      </c>
      <c r="K126" s="1">
        <f>$K$125+J126</f>
        <v>1727.5826290430807</v>
      </c>
      <c r="L126" s="170">
        <f>K126*$L$122</f>
        <v>2159.4782863038508</v>
      </c>
      <c r="N126" s="118" t="s">
        <v>61</v>
      </c>
      <c r="O126" s="119">
        <v>0</v>
      </c>
      <c r="P126" s="14">
        <f>I125</f>
        <v>0</v>
      </c>
      <c r="Q126" s="14">
        <f>L125</f>
        <v>2136.0388243925177</v>
      </c>
      <c r="R126" s="19">
        <f>IF($Q$124=$R$124,$R$124,IF(RIGHT(N126)&gt;=RIGHT($R$121),$R$124,$Q$124))</f>
        <v>22.3</v>
      </c>
      <c r="S126" s="19" t="s">
        <v>173</v>
      </c>
      <c r="T126" s="6"/>
      <c r="U126" s="6"/>
      <c r="V126" s="6"/>
      <c r="W126" s="6"/>
      <c r="X126" s="6"/>
      <c r="Y126" s="6"/>
    </row>
    <row r="127" spans="1:25" x14ac:dyDescent="0.25">
      <c r="A127" s="240"/>
      <c r="B127" s="114">
        <v>3</v>
      </c>
      <c r="C127" s="117">
        <f>ROUND($C$125*(1-D127),2)</f>
        <v>3.82</v>
      </c>
      <c r="D127" s="162">
        <v>4.3937371361364309E-2</v>
      </c>
      <c r="E127" s="6" t="s">
        <v>162</v>
      </c>
      <c r="F127" s="4">
        <v>187.27922416900282</v>
      </c>
      <c r="G127" s="6" t="s">
        <v>31</v>
      </c>
      <c r="H127" s="154" t="s">
        <v>177</v>
      </c>
      <c r="I127" s="4">
        <f>81.4582269778713*$K$1</f>
        <v>81.946976339738541</v>
      </c>
      <c r="J127" s="1">
        <f>J126+I127</f>
        <v>100.69854586880517</v>
      </c>
      <c r="K127" s="1">
        <f>$K$125+J127</f>
        <v>1809.5296053828192</v>
      </c>
      <c r="L127" s="170">
        <f>K127*$L$122</f>
        <v>2261.9120067285239</v>
      </c>
      <c r="N127" s="118" t="s">
        <v>15</v>
      </c>
      <c r="O127" s="119">
        <f>D129</f>
        <v>8.32526243712607E-2</v>
      </c>
      <c r="P127" s="14">
        <f>J129</f>
        <v>417.90177204164434</v>
      </c>
      <c r="Q127" s="14">
        <f>P127*$L$122</f>
        <v>522.37721505205536</v>
      </c>
      <c r="R127" s="19">
        <f>IF($Q$124=$R$124,$R$124,IF(RIGHT(N127)&gt;=RIGHT($R$121),$R$124,$Q$124))</f>
        <v>22.3</v>
      </c>
      <c r="S127" s="19" t="s">
        <v>132</v>
      </c>
      <c r="T127" s="2"/>
      <c r="U127" s="2"/>
      <c r="V127" s="6"/>
      <c r="W127" s="6"/>
      <c r="X127" s="6"/>
      <c r="Y127" s="6"/>
    </row>
    <row r="128" spans="1:25" x14ac:dyDescent="0.25">
      <c r="A128" s="240"/>
      <c r="B128" s="114">
        <v>4</v>
      </c>
      <c r="C128" s="117">
        <f>ROUND($C$125*(1-D128),2)</f>
        <v>3.81</v>
      </c>
      <c r="D128" s="162">
        <v>4.7442572627759604E-2</v>
      </c>
      <c r="E128" s="6" t="s">
        <v>49</v>
      </c>
      <c r="F128" s="4">
        <v>15.67</v>
      </c>
      <c r="G128" s="6" t="s">
        <v>33</v>
      </c>
      <c r="H128" s="154" t="s">
        <v>178</v>
      </c>
      <c r="I128" s="4">
        <f>20.62*$K$1</f>
        <v>20.74372</v>
      </c>
      <c r="J128" s="1">
        <f>J127+I128</f>
        <v>121.44226586880517</v>
      </c>
      <c r="K128" s="1">
        <f>$K$125+J128</f>
        <v>1830.2733253828192</v>
      </c>
      <c r="L128" s="170">
        <f t="shared" ref="L128:L129" si="25">K128*$L$122</f>
        <v>2287.841656728524</v>
      </c>
      <c r="N128" s="118" t="s">
        <v>2</v>
      </c>
      <c r="O128" s="123"/>
      <c r="P128" s="13"/>
      <c r="Q128" s="14"/>
      <c r="R128" s="19"/>
      <c r="S128" s="19"/>
      <c r="T128" s="121"/>
      <c r="U128" s="13"/>
      <c r="V128" s="114"/>
      <c r="W128" s="121"/>
      <c r="X128" s="121"/>
      <c r="Y128" s="13"/>
    </row>
    <row r="129" spans="1:25" x14ac:dyDescent="0.25">
      <c r="A129" s="240"/>
      <c r="B129" s="114">
        <v>5</v>
      </c>
      <c r="C129" s="117">
        <f>ROUND($C$125*(1-D129),2)</f>
        <v>3.67</v>
      </c>
      <c r="D129" s="162">
        <v>8.32526243712607E-2</v>
      </c>
      <c r="E129" s="6" t="s">
        <v>50</v>
      </c>
      <c r="F129" s="4" t="s">
        <v>126</v>
      </c>
      <c r="G129" s="6" t="s">
        <v>50</v>
      </c>
      <c r="H129" s="154" t="s">
        <v>178</v>
      </c>
      <c r="I129" s="4">
        <f>294.691358024691*$K$1</f>
        <v>296.45950617283916</v>
      </c>
      <c r="J129" s="1">
        <f>J128+I129</f>
        <v>417.90177204164434</v>
      </c>
      <c r="K129" s="1">
        <f>$K$125+J129</f>
        <v>2126.7328315556583</v>
      </c>
      <c r="L129" s="170">
        <f t="shared" si="25"/>
        <v>2658.416039444573</v>
      </c>
      <c r="N129" s="118" t="s">
        <v>3</v>
      </c>
      <c r="O129" s="123"/>
      <c r="P129" s="13"/>
      <c r="Q129" s="14"/>
      <c r="R129" s="19"/>
      <c r="S129" s="19"/>
      <c r="T129" s="121"/>
      <c r="U129" s="13"/>
      <c r="V129" s="114"/>
      <c r="W129" s="121"/>
      <c r="X129" s="121"/>
      <c r="Y129" s="13"/>
    </row>
    <row r="130" spans="1:25" x14ac:dyDescent="0.25">
      <c r="A130" s="240"/>
      <c r="B130" s="114">
        <v>6</v>
      </c>
      <c r="C130" s="117"/>
      <c r="D130" s="162"/>
      <c r="E130" s="6"/>
      <c r="F130" s="1"/>
      <c r="G130" s="6"/>
      <c r="H130" s="6"/>
      <c r="I130" s="1"/>
      <c r="J130" s="1"/>
      <c r="K130" s="4"/>
      <c r="L130" s="2"/>
      <c r="N130" s="118" t="s">
        <v>4</v>
      </c>
      <c r="O130" s="123"/>
      <c r="P130" s="13"/>
      <c r="Q130" s="14"/>
      <c r="R130" s="19"/>
      <c r="S130" s="19"/>
      <c r="T130" s="121"/>
      <c r="U130" s="13"/>
      <c r="V130" s="114"/>
      <c r="W130" s="121"/>
      <c r="X130" s="121"/>
      <c r="Y130" s="13"/>
    </row>
    <row r="131" spans="1:25" x14ac:dyDescent="0.25">
      <c r="A131" s="240"/>
      <c r="B131" s="114">
        <v>7</v>
      </c>
      <c r="C131" s="117"/>
      <c r="D131" s="162"/>
      <c r="E131" s="6"/>
      <c r="F131" s="1"/>
      <c r="G131" s="6"/>
      <c r="H131" s="6"/>
      <c r="I131" s="1"/>
      <c r="J131" s="1"/>
      <c r="K131" s="4"/>
      <c r="L131" s="2"/>
      <c r="N131" s="118" t="s">
        <v>5</v>
      </c>
      <c r="O131" s="119"/>
      <c r="P131" s="13"/>
      <c r="Q131" s="13"/>
      <c r="R131" s="19"/>
      <c r="S131" s="19"/>
      <c r="T131" s="121"/>
      <c r="U131" s="13"/>
      <c r="V131" s="114"/>
      <c r="W131" s="121"/>
      <c r="X131" s="121"/>
      <c r="Y131" s="13"/>
    </row>
    <row r="132" spans="1:25" x14ac:dyDescent="0.25">
      <c r="A132" s="240"/>
      <c r="B132" s="114">
        <v>8</v>
      </c>
      <c r="C132" s="6"/>
      <c r="D132" s="6"/>
      <c r="E132" s="6"/>
      <c r="F132" s="6"/>
      <c r="G132" s="6"/>
      <c r="H132" s="6"/>
      <c r="I132" s="6"/>
      <c r="J132" s="6"/>
      <c r="K132" s="4"/>
      <c r="L132" s="6"/>
      <c r="N132" s="118" t="s">
        <v>62</v>
      </c>
      <c r="O132" s="123"/>
      <c r="P132" s="15"/>
      <c r="Q132" s="15"/>
      <c r="R132" s="19"/>
      <c r="S132" s="19"/>
      <c r="T132" s="121"/>
      <c r="U132" s="121"/>
      <c r="V132" s="13"/>
      <c r="W132" s="114"/>
      <c r="X132" s="114"/>
      <c r="Y132" s="114"/>
    </row>
    <row r="133" spans="1:25" x14ac:dyDescent="0.25">
      <c r="A133" s="240"/>
      <c r="B133" s="114">
        <v>9</v>
      </c>
      <c r="C133" s="6"/>
      <c r="D133" s="6"/>
      <c r="E133" s="6"/>
      <c r="F133" s="6"/>
      <c r="G133" s="6"/>
      <c r="H133" s="6"/>
      <c r="I133" s="6"/>
      <c r="J133" s="6"/>
      <c r="K133" s="4"/>
      <c r="L133" s="6"/>
      <c r="N133" s="164"/>
      <c r="O133" s="158"/>
      <c r="P133" s="16"/>
      <c r="Q133" s="16"/>
      <c r="R133" s="16"/>
      <c r="S133" s="36"/>
      <c r="T133" s="2"/>
      <c r="U133" s="2"/>
      <c r="V133" s="6"/>
      <c r="W133" s="6"/>
      <c r="X133" s="6"/>
      <c r="Y133" s="6"/>
    </row>
    <row r="134" spans="1:25" x14ac:dyDescent="0.25">
      <c r="A134" s="240"/>
      <c r="B134" s="114">
        <v>10</v>
      </c>
      <c r="C134" s="6"/>
      <c r="D134" s="6"/>
      <c r="E134" s="6"/>
      <c r="F134" s="6"/>
      <c r="G134" s="6"/>
      <c r="H134" s="6"/>
      <c r="I134" s="6"/>
      <c r="J134" s="6"/>
      <c r="K134" s="4"/>
      <c r="L134" s="6"/>
    </row>
    <row r="135" spans="1:25" ht="19.5" thickBot="1" x14ac:dyDescent="0.35">
      <c r="A135" s="240"/>
      <c r="B135" s="7"/>
      <c r="K135" s="3"/>
      <c r="N135" s="131" t="s">
        <v>188</v>
      </c>
      <c r="O135" s="129"/>
      <c r="P135" s="129"/>
      <c r="Q135" s="129"/>
      <c r="R135" s="129"/>
      <c r="S135" s="129"/>
      <c r="T135" s="129"/>
      <c r="U135" s="129"/>
      <c r="V135" s="129"/>
    </row>
    <row r="136" spans="1:25" ht="15.75" customHeight="1" thickBot="1" x14ac:dyDescent="0.3">
      <c r="A136" s="240"/>
      <c r="B136" s="7"/>
      <c r="K136" s="3"/>
      <c r="N136" s="313" t="s">
        <v>61</v>
      </c>
      <c r="O136" s="313" t="s">
        <v>15</v>
      </c>
      <c r="P136" s="313" t="s">
        <v>2</v>
      </c>
      <c r="Q136" s="313" t="s">
        <v>3</v>
      </c>
      <c r="R136" s="313" t="s">
        <v>4</v>
      </c>
      <c r="S136" s="313" t="s">
        <v>5</v>
      </c>
      <c r="T136" s="313" t="s">
        <v>62</v>
      </c>
      <c r="U136" s="313" t="s">
        <v>114</v>
      </c>
      <c r="V136" s="313"/>
    </row>
    <row r="137" spans="1:25" ht="15.75" thickBot="1" x14ac:dyDescent="0.3">
      <c r="A137" s="240"/>
      <c r="B137" s="7"/>
      <c r="I137" s="23"/>
      <c r="K137" s="3"/>
      <c r="N137" s="271"/>
      <c r="O137" s="271"/>
      <c r="P137" s="271"/>
      <c r="Q137" s="271"/>
      <c r="R137" s="271"/>
      <c r="S137" s="271"/>
      <c r="T137" s="271"/>
      <c r="U137" s="146" t="s">
        <v>115</v>
      </c>
      <c r="V137" s="146" t="s">
        <v>116</v>
      </c>
    </row>
    <row r="138" spans="1:25" ht="15.75" thickBot="1" x14ac:dyDescent="0.3">
      <c r="A138" s="240"/>
      <c r="B138" s="7"/>
      <c r="I138" s="23"/>
      <c r="K138" s="3"/>
      <c r="N138" s="212">
        <f>P126</f>
        <v>0</v>
      </c>
      <c r="O138" s="222">
        <f>P127</f>
        <v>417.90177204164434</v>
      </c>
      <c r="P138" s="222">
        <f>P128</f>
        <v>0</v>
      </c>
      <c r="Q138" s="222">
        <f>P129</f>
        <v>0</v>
      </c>
      <c r="R138" s="222">
        <f>P130</f>
        <v>0</v>
      </c>
      <c r="S138" s="222">
        <f>P131</f>
        <v>0</v>
      </c>
      <c r="T138" s="222">
        <f>P132</f>
        <v>0</v>
      </c>
      <c r="U138" s="201">
        <f>MAX(O126:O132)</f>
        <v>8.32526243712607E-2</v>
      </c>
      <c r="V138" s="213">
        <f>MAX(N138:T138)</f>
        <v>417.90177204164434</v>
      </c>
    </row>
    <row r="139" spans="1:25" x14ac:dyDescent="0.25">
      <c r="A139" s="240"/>
      <c r="B139" s="7"/>
      <c r="I139" s="23"/>
      <c r="K139" s="3"/>
      <c r="O139" s="25"/>
      <c r="P139" s="23"/>
    </row>
    <row r="140" spans="1:25" s="196" customFormat="1" x14ac:dyDescent="0.25">
      <c r="A140" s="242"/>
      <c r="B140" s="210"/>
      <c r="I140" s="199"/>
      <c r="K140" s="211"/>
      <c r="O140" s="198"/>
      <c r="P140" s="199"/>
    </row>
    <row r="141" spans="1:25" s="196" customFormat="1" x14ac:dyDescent="0.25">
      <c r="A141" s="242"/>
      <c r="B141" s="210"/>
      <c r="I141" s="199"/>
      <c r="K141" s="211"/>
      <c r="O141" s="198"/>
      <c r="P141" s="199"/>
    </row>
    <row r="142" spans="1:25" x14ac:dyDescent="0.25">
      <c r="A142" s="240"/>
      <c r="B142" s="7"/>
      <c r="I142" s="23"/>
      <c r="K142" s="3"/>
      <c r="O142" s="25"/>
      <c r="P142" s="23"/>
    </row>
    <row r="143" spans="1:25" ht="19.5" thickBot="1" x14ac:dyDescent="0.35">
      <c r="A143" s="240"/>
      <c r="B143" s="131" t="s">
        <v>190</v>
      </c>
      <c r="R143" s="130" t="s">
        <v>181</v>
      </c>
    </row>
    <row r="144" spans="1:25" ht="15.75" thickBot="1" x14ac:dyDescent="0.3">
      <c r="A144" s="240"/>
      <c r="E144" s="97" t="s">
        <v>54</v>
      </c>
      <c r="F144" s="20">
        <v>4</v>
      </c>
      <c r="H144" t="s">
        <v>175</v>
      </c>
      <c r="I144" s="99" t="s">
        <v>78</v>
      </c>
      <c r="L144" s="129" t="s">
        <v>180</v>
      </c>
      <c r="R144" s="138" t="s">
        <v>173</v>
      </c>
    </row>
    <row r="145" spans="1:25" ht="34.5" customHeight="1" thickBot="1" x14ac:dyDescent="0.35">
      <c r="A145" s="240"/>
      <c r="B145" s="304" t="s">
        <v>42</v>
      </c>
      <c r="C145" s="305"/>
      <c r="D145" s="303" t="s">
        <v>79</v>
      </c>
      <c r="E145" s="303"/>
      <c r="F145" s="303"/>
      <c r="G145" s="303"/>
      <c r="H145" s="303"/>
      <c r="I145" s="303"/>
      <c r="J145" s="303"/>
      <c r="K145" s="303"/>
      <c r="L145" s="100">
        <v>1.25</v>
      </c>
      <c r="N145" s="131" t="s">
        <v>189</v>
      </c>
      <c r="Q145" s="137" t="s">
        <v>182</v>
      </c>
      <c r="R145" s="137" t="s">
        <v>183</v>
      </c>
    </row>
    <row r="146" spans="1:25" ht="55.5" customHeight="1" thickBot="1" x14ac:dyDescent="0.3">
      <c r="A146" s="240"/>
      <c r="B146" s="299" t="s">
        <v>53</v>
      </c>
      <c r="C146" s="299" t="s">
        <v>17</v>
      </c>
      <c r="D146" s="299" t="s">
        <v>18</v>
      </c>
      <c r="E146" s="299" t="s">
        <v>19</v>
      </c>
      <c r="F146" s="307" t="s">
        <v>28</v>
      </c>
      <c r="G146" s="308"/>
      <c r="H146" s="309"/>
      <c r="I146" s="301" t="s">
        <v>26</v>
      </c>
      <c r="J146" s="302"/>
      <c r="K146" s="297" t="s">
        <v>52</v>
      </c>
      <c r="L146" s="297" t="s">
        <v>34</v>
      </c>
      <c r="N146" s="102" t="s">
        <v>6</v>
      </c>
      <c r="O146" s="103" t="s">
        <v>0</v>
      </c>
      <c r="P146" s="104" t="s">
        <v>55</v>
      </c>
      <c r="Q146" s="101" t="s">
        <v>97</v>
      </c>
      <c r="R146" s="101" t="s">
        <v>98</v>
      </c>
      <c r="S146" s="105" t="s">
        <v>1</v>
      </c>
    </row>
    <row r="147" spans="1:25" ht="25.5" x14ac:dyDescent="0.25">
      <c r="A147" s="240"/>
      <c r="B147" s="300"/>
      <c r="C147" s="300"/>
      <c r="D147" s="300"/>
      <c r="E147" s="300"/>
      <c r="F147" s="106" t="s">
        <v>27</v>
      </c>
      <c r="G147" s="106" t="s">
        <v>29</v>
      </c>
      <c r="H147" s="128" t="s">
        <v>176</v>
      </c>
      <c r="I147" s="106" t="s">
        <v>25</v>
      </c>
      <c r="J147" s="107" t="s">
        <v>24</v>
      </c>
      <c r="K147" s="298"/>
      <c r="L147" s="298"/>
      <c r="N147" s="108" t="s">
        <v>45</v>
      </c>
      <c r="O147" s="109">
        <v>2.5000000000000022E-2</v>
      </c>
      <c r="P147" s="110">
        <v>2600</v>
      </c>
      <c r="Q147" s="111">
        <v>19.7</v>
      </c>
      <c r="R147" s="160">
        <f>Q147</f>
        <v>19.7</v>
      </c>
      <c r="S147" s="167">
        <v>174</v>
      </c>
    </row>
    <row r="148" spans="1:25" ht="49.5" customHeight="1" x14ac:dyDescent="0.25">
      <c r="A148" s="240"/>
      <c r="B148" s="114">
        <v>1</v>
      </c>
      <c r="C148" s="117">
        <v>4</v>
      </c>
      <c r="D148" s="162">
        <v>0</v>
      </c>
      <c r="E148" s="6" t="s">
        <v>20</v>
      </c>
      <c r="F148" s="1" t="s">
        <v>126</v>
      </c>
      <c r="G148" s="6" t="s">
        <v>20</v>
      </c>
      <c r="H148" s="134" t="s">
        <v>173</v>
      </c>
      <c r="I148" s="1">
        <v>0</v>
      </c>
      <c r="J148" s="1">
        <v>0</v>
      </c>
      <c r="K148" s="1">
        <f>3725.17*$K$1</f>
        <v>3747.5210200000001</v>
      </c>
      <c r="L148" s="4">
        <f>K148*$L$145</f>
        <v>4684.4012750000002</v>
      </c>
      <c r="N148" s="116" t="s">
        <v>56</v>
      </c>
      <c r="O148" s="116" t="s">
        <v>57</v>
      </c>
      <c r="P148" s="116" t="s">
        <v>58</v>
      </c>
      <c r="Q148" s="116" t="s">
        <v>96</v>
      </c>
      <c r="R148" s="116" t="s">
        <v>99</v>
      </c>
      <c r="S148" s="142" t="s">
        <v>184</v>
      </c>
      <c r="T148" s="314" t="s">
        <v>59</v>
      </c>
      <c r="U148" s="315"/>
      <c r="V148" s="315"/>
      <c r="W148" s="315"/>
      <c r="X148" s="315"/>
      <c r="Y148" s="316"/>
    </row>
    <row r="149" spans="1:25" x14ac:dyDescent="0.25">
      <c r="A149" s="240"/>
      <c r="B149" s="114">
        <v>2</v>
      </c>
      <c r="C149" s="117">
        <f>ROUND($C$148*(1-D149),2)</f>
        <v>3.9</v>
      </c>
      <c r="D149" s="162">
        <v>2.4733510992671629E-2</v>
      </c>
      <c r="E149" s="6" t="s">
        <v>133</v>
      </c>
      <c r="F149" s="4">
        <v>781.59</v>
      </c>
      <c r="G149" s="6" t="s">
        <v>30</v>
      </c>
      <c r="H149" s="154" t="s">
        <v>177</v>
      </c>
      <c r="I149" s="230">
        <f>(F12*1.05^((LOG(6.32/6.05)/LOG(1.02)))-F12)*$K$1</f>
        <v>37.191756124460447</v>
      </c>
      <c r="J149" s="1">
        <f>I149+J148</f>
        <v>37.191756124460447</v>
      </c>
      <c r="K149" s="1">
        <f>$K$148+J149</f>
        <v>3784.7127761244606</v>
      </c>
      <c r="L149" s="4">
        <f t="shared" ref="L149:L151" si="26">K149*$L$145</f>
        <v>4730.8909701555758</v>
      </c>
      <c r="N149" s="118" t="s">
        <v>61</v>
      </c>
      <c r="O149" s="119">
        <v>0</v>
      </c>
      <c r="P149" s="14">
        <f>I148</f>
        <v>0</v>
      </c>
      <c r="Q149" s="14">
        <f>L148</f>
        <v>4684.4012750000002</v>
      </c>
      <c r="R149" s="19">
        <f>IF($Q$147=$R$147,$R$147,IF(RIGHT(N149)&gt;=RIGHT($R$144),$R$147,$Q$147))</f>
        <v>19.7</v>
      </c>
      <c r="S149" s="19" t="s">
        <v>173</v>
      </c>
      <c r="T149" s="6"/>
      <c r="U149" s="6"/>
      <c r="V149" s="6"/>
      <c r="W149" s="6"/>
      <c r="X149" s="6"/>
      <c r="Y149" s="6"/>
    </row>
    <row r="150" spans="1:25" x14ac:dyDescent="0.25">
      <c r="A150" s="240"/>
      <c r="B150" s="114">
        <v>3</v>
      </c>
      <c r="C150" s="117">
        <f>ROUND($C$148*(1-D150),2)</f>
        <v>3.85</v>
      </c>
      <c r="D150" s="162">
        <v>3.6578439423439052E-2</v>
      </c>
      <c r="E150" s="6" t="s">
        <v>80</v>
      </c>
      <c r="F150" s="4">
        <v>41.82</v>
      </c>
      <c r="G150" s="6" t="s">
        <v>33</v>
      </c>
      <c r="H150" s="154" t="s">
        <v>177</v>
      </c>
      <c r="I150" s="1">
        <f>39.36*$K$1</f>
        <v>39.596159999999998</v>
      </c>
      <c r="J150" s="1">
        <f>I150+J149</f>
        <v>76.787916124460452</v>
      </c>
      <c r="K150" s="1">
        <f>$K$148+J150</f>
        <v>3824.3089361244606</v>
      </c>
      <c r="L150" s="4">
        <f t="shared" si="26"/>
        <v>4780.3861701555761</v>
      </c>
      <c r="N150" s="118" t="s">
        <v>15</v>
      </c>
      <c r="O150" s="119">
        <f>D151</f>
        <v>7.4151880285924926E-2</v>
      </c>
      <c r="P150" s="14">
        <f>J151</f>
        <v>524.14742229729961</v>
      </c>
      <c r="Q150" s="14">
        <f>P150*$L$145</f>
        <v>655.18427787162454</v>
      </c>
      <c r="R150" s="19">
        <f>IF($Q$147=$R$147,$R$147,IF(RIGHT(N150)&gt;=RIGHT($R$144),$R$147,$Q$147))</f>
        <v>19.7</v>
      </c>
      <c r="S150" s="19" t="s">
        <v>132</v>
      </c>
      <c r="T150" s="2"/>
      <c r="U150" s="2"/>
      <c r="V150" s="6"/>
      <c r="W150" s="6"/>
      <c r="X150" s="6"/>
      <c r="Y150" s="6"/>
    </row>
    <row r="151" spans="1:25" x14ac:dyDescent="0.25">
      <c r="A151" s="240"/>
      <c r="B151" s="114">
        <v>4</v>
      </c>
      <c r="C151" s="117">
        <f t="shared" ref="C151" si="27">ROUND($C$148*(1-D151),2)</f>
        <v>3.7</v>
      </c>
      <c r="D151" s="162">
        <v>7.4151880285924926E-2</v>
      </c>
      <c r="E151" s="6" t="s">
        <v>50</v>
      </c>
      <c r="F151" s="4" t="s">
        <v>126</v>
      </c>
      <c r="G151" s="6" t="s">
        <v>50</v>
      </c>
      <c r="H151" s="154" t="s">
        <v>178</v>
      </c>
      <c r="I151" s="1">
        <f>444.691358024691*$K$1</f>
        <v>447.35950617283913</v>
      </c>
      <c r="J151" s="1">
        <f>I151+J150</f>
        <v>524.14742229729961</v>
      </c>
      <c r="K151" s="1">
        <f>$K$148+J151</f>
        <v>4271.6684422972994</v>
      </c>
      <c r="L151" s="4">
        <f t="shared" si="26"/>
        <v>5339.5855528716238</v>
      </c>
      <c r="N151" s="118" t="s">
        <v>2</v>
      </c>
      <c r="O151" s="119"/>
      <c r="P151" s="13"/>
      <c r="Q151" s="14"/>
      <c r="R151" s="19"/>
      <c r="S151" s="19"/>
      <c r="T151" s="155"/>
      <c r="U151" s="2"/>
      <c r="V151" s="6"/>
      <c r="W151" s="157"/>
      <c r="X151" s="157"/>
      <c r="Y151" s="1"/>
    </row>
    <row r="152" spans="1:25" x14ac:dyDescent="0.25">
      <c r="A152" s="240"/>
      <c r="B152" s="114">
        <v>5</v>
      </c>
      <c r="C152" s="174"/>
      <c r="D152" s="162"/>
      <c r="E152" s="6"/>
      <c r="F152" s="1"/>
      <c r="G152" s="6"/>
      <c r="H152" s="6"/>
      <c r="I152" s="1"/>
      <c r="J152" s="6"/>
      <c r="K152" s="6"/>
      <c r="L152" s="6"/>
      <c r="N152" s="118" t="s">
        <v>3</v>
      </c>
      <c r="O152" s="123"/>
      <c r="P152" s="13"/>
      <c r="Q152" s="14"/>
      <c r="R152" s="19"/>
      <c r="S152" s="19"/>
      <c r="T152" s="2"/>
      <c r="U152" s="2"/>
      <c r="V152" s="6"/>
      <c r="W152" s="175"/>
      <c r="X152" s="175"/>
      <c r="Y152" s="1"/>
    </row>
    <row r="153" spans="1:25" x14ac:dyDescent="0.25">
      <c r="A153" s="240"/>
      <c r="B153" s="114">
        <v>6</v>
      </c>
      <c r="C153" s="174"/>
      <c r="D153" s="6"/>
      <c r="E153" s="6"/>
      <c r="F153" s="6"/>
      <c r="G153" s="6"/>
      <c r="H153" s="6"/>
      <c r="I153" s="6"/>
      <c r="J153" s="6"/>
      <c r="K153" s="6"/>
      <c r="L153" s="6"/>
      <c r="N153" s="118" t="s">
        <v>4</v>
      </c>
      <c r="O153" s="123"/>
      <c r="P153" s="13"/>
      <c r="Q153" s="14"/>
      <c r="R153" s="19"/>
      <c r="S153" s="19"/>
      <c r="T153" s="121"/>
      <c r="U153" s="13"/>
      <c r="V153" s="114"/>
      <c r="W153" s="121"/>
      <c r="X153" s="121"/>
      <c r="Y153" s="13"/>
    </row>
    <row r="154" spans="1:25" x14ac:dyDescent="0.25">
      <c r="A154" s="240"/>
      <c r="B154" s="114">
        <v>7</v>
      </c>
      <c r="C154" s="174"/>
      <c r="D154" s="6"/>
      <c r="E154" s="6"/>
      <c r="F154" s="6"/>
      <c r="G154" s="6"/>
      <c r="H154" s="6"/>
      <c r="I154" s="6"/>
      <c r="J154" s="6"/>
      <c r="K154" s="6"/>
      <c r="L154" s="6"/>
      <c r="N154" s="118" t="s">
        <v>5</v>
      </c>
      <c r="O154" s="119"/>
      <c r="P154" s="13"/>
      <c r="Q154" s="13"/>
      <c r="R154" s="19"/>
      <c r="S154" s="19"/>
      <c r="T154" s="121"/>
      <c r="U154" s="13"/>
      <c r="V154" s="114"/>
      <c r="W154" s="121"/>
      <c r="X154" s="121"/>
      <c r="Y154" s="13"/>
    </row>
    <row r="155" spans="1:25" x14ac:dyDescent="0.25">
      <c r="A155" s="240"/>
      <c r="B155" s="114">
        <v>8</v>
      </c>
      <c r="C155" s="174"/>
      <c r="D155" s="6"/>
      <c r="E155" s="6"/>
      <c r="F155" s="6"/>
      <c r="G155" s="6"/>
      <c r="H155" s="6"/>
      <c r="I155" s="6"/>
      <c r="J155" s="6"/>
      <c r="K155" s="6"/>
      <c r="L155" s="6"/>
      <c r="N155" s="118" t="s">
        <v>62</v>
      </c>
      <c r="O155" s="123"/>
      <c r="P155" s="15"/>
      <c r="Q155" s="15"/>
      <c r="R155" s="19"/>
      <c r="S155" s="19"/>
      <c r="T155" s="121"/>
      <c r="U155" s="121"/>
      <c r="V155" s="13"/>
      <c r="W155" s="114"/>
      <c r="X155" s="114"/>
      <c r="Y155" s="114"/>
    </row>
    <row r="156" spans="1:25" x14ac:dyDescent="0.25">
      <c r="A156" s="240"/>
      <c r="B156" s="114">
        <v>9</v>
      </c>
      <c r="C156" s="124"/>
      <c r="D156" s="6"/>
      <c r="E156" s="6"/>
      <c r="F156" s="6"/>
      <c r="G156" s="6"/>
      <c r="H156" s="6"/>
      <c r="I156" s="6"/>
      <c r="J156" s="6"/>
      <c r="K156" s="6"/>
      <c r="L156" s="6"/>
      <c r="N156" s="164"/>
      <c r="O156" s="158"/>
      <c r="P156" s="16"/>
      <c r="Q156" s="16"/>
      <c r="R156" s="16"/>
      <c r="S156" s="36"/>
      <c r="T156" s="2"/>
      <c r="U156" s="2"/>
      <c r="V156" s="6"/>
      <c r="W156" s="6"/>
      <c r="X156" s="6"/>
      <c r="Y156" s="6"/>
    </row>
    <row r="157" spans="1:25" x14ac:dyDescent="0.25">
      <c r="A157" s="240"/>
      <c r="B157" s="114">
        <v>10</v>
      </c>
      <c r="C157" s="124"/>
      <c r="D157" s="6"/>
      <c r="E157" s="6"/>
      <c r="F157" s="6"/>
      <c r="G157" s="6"/>
      <c r="H157" s="6"/>
      <c r="I157" s="6"/>
      <c r="J157" s="6"/>
      <c r="K157" s="6"/>
      <c r="L157" s="6"/>
    </row>
    <row r="158" spans="1:25" ht="19.5" thickBot="1" x14ac:dyDescent="0.35">
      <c r="A158" s="240"/>
      <c r="B158" s="7"/>
      <c r="C158" s="5"/>
      <c r="N158" s="131" t="s">
        <v>188</v>
      </c>
      <c r="O158" s="129"/>
      <c r="P158" s="129"/>
      <c r="Q158" s="129"/>
      <c r="R158" s="129"/>
      <c r="S158" s="129"/>
      <c r="T158" s="129"/>
      <c r="U158" s="129"/>
      <c r="V158" s="129"/>
    </row>
    <row r="159" spans="1:25" ht="15.75" thickBot="1" x14ac:dyDescent="0.3">
      <c r="A159" s="240"/>
      <c r="B159" s="7"/>
      <c r="C159" s="5"/>
      <c r="N159" s="313" t="s">
        <v>61</v>
      </c>
      <c r="O159" s="313" t="s">
        <v>15</v>
      </c>
      <c r="P159" s="313" t="s">
        <v>2</v>
      </c>
      <c r="Q159" s="313" t="s">
        <v>3</v>
      </c>
      <c r="R159" s="313" t="s">
        <v>4</v>
      </c>
      <c r="S159" s="313" t="s">
        <v>5</v>
      </c>
      <c r="T159" s="313" t="s">
        <v>62</v>
      </c>
      <c r="U159" s="313" t="s">
        <v>114</v>
      </c>
      <c r="V159" s="313"/>
    </row>
    <row r="160" spans="1:25" ht="15.75" thickBot="1" x14ac:dyDescent="0.3">
      <c r="A160" s="240"/>
      <c r="B160" s="7"/>
      <c r="C160" s="5"/>
      <c r="N160" s="271"/>
      <c r="O160" s="271"/>
      <c r="P160" s="271"/>
      <c r="Q160" s="271"/>
      <c r="R160" s="271"/>
      <c r="S160" s="271"/>
      <c r="T160" s="271"/>
      <c r="U160" s="146" t="s">
        <v>115</v>
      </c>
      <c r="V160" s="146" t="s">
        <v>116</v>
      </c>
    </row>
    <row r="161" spans="1:25" ht="15.75" thickBot="1" x14ac:dyDescent="0.3">
      <c r="A161" s="240"/>
      <c r="B161" s="7"/>
      <c r="C161" s="5"/>
      <c r="N161" s="212">
        <f>P149</f>
        <v>0</v>
      </c>
      <c r="O161" s="222">
        <f>P150</f>
        <v>524.14742229729961</v>
      </c>
      <c r="P161" s="222">
        <f>P151</f>
        <v>0</v>
      </c>
      <c r="Q161" s="222">
        <f>P152</f>
        <v>0</v>
      </c>
      <c r="R161" s="222">
        <f>P153</f>
        <v>0</v>
      </c>
      <c r="S161" s="222">
        <f>P154</f>
        <v>0</v>
      </c>
      <c r="T161" s="222">
        <f>P155</f>
        <v>0</v>
      </c>
      <c r="U161" s="201">
        <f>MAX(O149:O155)</f>
        <v>7.4151880285924926E-2</v>
      </c>
      <c r="V161" s="213">
        <f>MAX(N161:T161)</f>
        <v>524.14742229729961</v>
      </c>
    </row>
    <row r="162" spans="1:25" x14ac:dyDescent="0.25">
      <c r="A162" s="240"/>
      <c r="B162" s="7"/>
      <c r="C162" s="5"/>
      <c r="O162" s="25"/>
      <c r="P162" s="23"/>
    </row>
    <row r="163" spans="1:25" s="196" customFormat="1" x14ac:dyDescent="0.25">
      <c r="A163" s="242"/>
      <c r="B163" s="210"/>
      <c r="C163" s="204"/>
      <c r="O163" s="198"/>
      <c r="P163" s="199"/>
    </row>
    <row r="164" spans="1:25" s="196" customFormat="1" x14ac:dyDescent="0.25">
      <c r="A164" s="242"/>
      <c r="B164" s="210"/>
      <c r="C164" s="204"/>
      <c r="O164" s="198"/>
      <c r="P164" s="199"/>
    </row>
    <row r="165" spans="1:25" x14ac:dyDescent="0.25">
      <c r="A165" s="240"/>
      <c r="B165" s="7"/>
      <c r="C165" s="5"/>
    </row>
    <row r="166" spans="1:25" ht="19.5" thickBot="1" x14ac:dyDescent="0.35">
      <c r="A166" s="240"/>
      <c r="B166" s="131" t="s">
        <v>190</v>
      </c>
      <c r="C166" s="5"/>
      <c r="R166" s="130" t="s">
        <v>181</v>
      </c>
    </row>
    <row r="167" spans="1:25" ht="15.75" thickBot="1" x14ac:dyDescent="0.3">
      <c r="A167" s="240"/>
      <c r="B167" s="7"/>
      <c r="C167" s="5"/>
      <c r="E167" s="97" t="s">
        <v>54</v>
      </c>
      <c r="F167" s="29">
        <v>5.0999999999999996</v>
      </c>
      <c r="H167" t="s">
        <v>175</v>
      </c>
      <c r="I167" s="216" t="s">
        <v>86</v>
      </c>
      <c r="L167" s="129" t="s">
        <v>180</v>
      </c>
      <c r="R167" s="138" t="s">
        <v>173</v>
      </c>
    </row>
    <row r="168" spans="1:25" ht="35.25" customHeight="1" thickBot="1" x14ac:dyDescent="0.35">
      <c r="A168" s="240"/>
      <c r="B168" s="304" t="s">
        <v>43</v>
      </c>
      <c r="C168" s="305"/>
      <c r="D168" s="303" t="s">
        <v>81</v>
      </c>
      <c r="E168" s="303"/>
      <c r="F168" s="303"/>
      <c r="G168" s="303"/>
      <c r="H168" s="303"/>
      <c r="I168" s="303"/>
      <c r="J168" s="303"/>
      <c r="K168" s="303"/>
      <c r="L168" s="100">
        <v>1.25</v>
      </c>
      <c r="N168" s="131" t="s">
        <v>189</v>
      </c>
      <c r="Q168" s="137" t="s">
        <v>182</v>
      </c>
      <c r="R168" s="137" t="s">
        <v>183</v>
      </c>
    </row>
    <row r="169" spans="1:25" ht="75.75" customHeight="1" thickBot="1" x14ac:dyDescent="0.3">
      <c r="A169" s="240"/>
      <c r="B169" s="299" t="s">
        <v>53</v>
      </c>
      <c r="C169" s="299" t="s">
        <v>17</v>
      </c>
      <c r="D169" s="299" t="s">
        <v>18</v>
      </c>
      <c r="E169" s="299" t="s">
        <v>19</v>
      </c>
      <c r="F169" s="307" t="s">
        <v>28</v>
      </c>
      <c r="G169" s="308"/>
      <c r="H169" s="309"/>
      <c r="I169" s="301" t="s">
        <v>26</v>
      </c>
      <c r="J169" s="302"/>
      <c r="K169" s="297" t="s">
        <v>52</v>
      </c>
      <c r="L169" s="297" t="s">
        <v>34</v>
      </c>
      <c r="N169" s="102" t="s">
        <v>43</v>
      </c>
      <c r="O169" s="103" t="s">
        <v>0</v>
      </c>
      <c r="P169" s="104" t="s">
        <v>55</v>
      </c>
      <c r="Q169" s="101" t="s">
        <v>97</v>
      </c>
      <c r="R169" s="101" t="s">
        <v>98</v>
      </c>
      <c r="S169" s="105" t="s">
        <v>1</v>
      </c>
    </row>
    <row r="170" spans="1:25" ht="25.5" x14ac:dyDescent="0.25">
      <c r="A170" s="240"/>
      <c r="B170" s="300"/>
      <c r="C170" s="300"/>
      <c r="D170" s="300"/>
      <c r="E170" s="300"/>
      <c r="F170" s="106" t="s">
        <v>27</v>
      </c>
      <c r="G170" s="106" t="s">
        <v>29</v>
      </c>
      <c r="H170" s="106"/>
      <c r="I170" s="106" t="s">
        <v>25</v>
      </c>
      <c r="J170" s="107" t="s">
        <v>24</v>
      </c>
      <c r="K170" s="298"/>
      <c r="L170" s="298"/>
      <c r="N170" s="108" t="s">
        <v>68</v>
      </c>
      <c r="O170" s="109">
        <v>0.15686274509803919</v>
      </c>
      <c r="P170" s="110">
        <v>1500</v>
      </c>
      <c r="Q170" s="111">
        <v>20</v>
      </c>
      <c r="R170" s="160">
        <f>Q170</f>
        <v>20</v>
      </c>
      <c r="S170" s="167" t="s">
        <v>12</v>
      </c>
    </row>
    <row r="171" spans="1:25" ht="30" x14ac:dyDescent="0.25">
      <c r="A171" s="240"/>
      <c r="B171" s="114">
        <v>1</v>
      </c>
      <c r="C171" s="206">
        <v>5.0999999999999996</v>
      </c>
      <c r="D171" s="121">
        <v>0</v>
      </c>
      <c r="E171" s="161" t="s">
        <v>20</v>
      </c>
      <c r="F171" s="127" t="s">
        <v>126</v>
      </c>
      <c r="G171" s="161" t="s">
        <v>20</v>
      </c>
      <c r="H171" s="161"/>
      <c r="I171" s="127">
        <v>0</v>
      </c>
      <c r="J171" s="127">
        <v>0</v>
      </c>
      <c r="K171" s="208">
        <f>1958.68*$K$1</f>
        <v>1970.43208</v>
      </c>
      <c r="L171" s="31">
        <f>K171*$L$168</f>
        <v>2463.0401000000002</v>
      </c>
      <c r="N171" s="116" t="s">
        <v>56</v>
      </c>
      <c r="O171" s="116" t="s">
        <v>57</v>
      </c>
      <c r="P171" s="116" t="s">
        <v>58</v>
      </c>
      <c r="Q171" s="116" t="s">
        <v>96</v>
      </c>
      <c r="R171" s="116" t="s">
        <v>99</v>
      </c>
      <c r="S171" s="142" t="s">
        <v>184</v>
      </c>
      <c r="T171" s="314" t="s">
        <v>59</v>
      </c>
      <c r="U171" s="315"/>
      <c r="V171" s="315"/>
      <c r="W171" s="315"/>
      <c r="X171" s="315"/>
      <c r="Y171" s="316"/>
    </row>
    <row r="172" spans="1:25" x14ac:dyDescent="0.25">
      <c r="A172" s="240"/>
      <c r="B172" s="114">
        <v>2</v>
      </c>
      <c r="C172" s="117">
        <f>ROUND($C$171*(1-D172),2)</f>
        <v>4.93</v>
      </c>
      <c r="D172" s="162">
        <v>3.4000000000000002E-2</v>
      </c>
      <c r="E172" s="6" t="s">
        <v>131</v>
      </c>
      <c r="F172" s="4">
        <v>118.2</v>
      </c>
      <c r="G172" s="6" t="s">
        <v>31</v>
      </c>
      <c r="H172" s="6"/>
      <c r="I172" s="4">
        <f>11.05*$K$1</f>
        <v>11.116300000000001</v>
      </c>
      <c r="J172" s="4">
        <f>I172+J171</f>
        <v>11.116300000000001</v>
      </c>
      <c r="K172" s="4">
        <f t="shared" ref="K172:K178" si="28">$K$171+J172</f>
        <v>1981.54838</v>
      </c>
      <c r="L172" s="4">
        <f t="shared" ref="L172:L178" si="29">K172*$L$168</f>
        <v>2476.9354749999998</v>
      </c>
      <c r="N172" s="118" t="s">
        <v>61</v>
      </c>
      <c r="O172" s="119">
        <v>0</v>
      </c>
      <c r="P172" s="14">
        <f>J171</f>
        <v>0</v>
      </c>
      <c r="Q172" s="14">
        <f>L171</f>
        <v>2463.0401000000002</v>
      </c>
      <c r="R172" s="19">
        <f>IF($Q$170=$R$170,$R$170,IF(RIGHT(N172)&gt;=RIGHT($R$167),$R$170,$Q$170))</f>
        <v>20</v>
      </c>
      <c r="S172" s="19" t="s">
        <v>173</v>
      </c>
      <c r="T172" s="6"/>
      <c r="U172" s="6"/>
      <c r="V172" s="6"/>
      <c r="W172" s="6"/>
      <c r="X172" s="6"/>
      <c r="Y172" s="6"/>
    </row>
    <row r="173" spans="1:25" x14ac:dyDescent="0.25">
      <c r="A173" s="240"/>
      <c r="B173" s="114">
        <v>3</v>
      </c>
      <c r="C173" s="117">
        <f t="shared" ref="C173:C178" si="30">ROUND($C$171*(1-D173),2)</f>
        <v>4.42</v>
      </c>
      <c r="D173" s="162">
        <v>0.13264745663040278</v>
      </c>
      <c r="E173" s="6" t="s">
        <v>128</v>
      </c>
      <c r="F173" s="4">
        <v>480.33330045866063</v>
      </c>
      <c r="G173" s="6" t="s">
        <v>30</v>
      </c>
      <c r="H173" s="6"/>
      <c r="I173" s="229">
        <f>(F12*1.05^((LOG(7.16/5.94)/LOG(1.02)))-F12)*$K$1</f>
        <v>191.39521353860152</v>
      </c>
      <c r="J173" s="4">
        <f t="shared" ref="J173:J178" si="31">I173+J172</f>
        <v>202.51151353860152</v>
      </c>
      <c r="K173" s="4">
        <f t="shared" si="28"/>
        <v>2172.9435935386014</v>
      </c>
      <c r="L173" s="4">
        <f t="shared" si="29"/>
        <v>2716.1794919232516</v>
      </c>
      <c r="N173" s="118" t="s">
        <v>15</v>
      </c>
      <c r="O173" s="119">
        <v>0.1</v>
      </c>
      <c r="P173" s="14">
        <f>J172+(J173-J172)*(O173-D172)/(D173-D172)</f>
        <v>139.16911073667885</v>
      </c>
      <c r="Q173" s="14">
        <f>P173*$L$168</f>
        <v>173.96138842084855</v>
      </c>
      <c r="R173" s="19">
        <f>IF($Q$170=$R$170,$R$170,IF(RIGHT(N173)&gt;=RIGHT($R$167),$R$170,$Q$170))</f>
        <v>20</v>
      </c>
      <c r="S173" s="19" t="s">
        <v>185</v>
      </c>
      <c r="T173" s="2"/>
      <c r="U173" s="2"/>
      <c r="V173" s="6"/>
      <c r="W173" s="6"/>
      <c r="X173" s="6"/>
      <c r="Y173" s="6"/>
    </row>
    <row r="174" spans="1:25" x14ac:dyDescent="0.25">
      <c r="A174" s="240"/>
      <c r="B174" s="114">
        <v>4</v>
      </c>
      <c r="C174" s="117">
        <f t="shared" si="30"/>
        <v>4.32</v>
      </c>
      <c r="D174" s="162">
        <v>0.15317531586793945</v>
      </c>
      <c r="E174" s="6" t="s">
        <v>83</v>
      </c>
      <c r="F174" s="4">
        <v>54.62</v>
      </c>
      <c r="G174" s="6" t="s">
        <v>32</v>
      </c>
      <c r="H174" s="6"/>
      <c r="I174" s="4">
        <f>23.88*$K$1</f>
        <v>24.02328</v>
      </c>
      <c r="J174" s="4">
        <f t="shared" si="31"/>
        <v>226.53479353860152</v>
      </c>
      <c r="K174" s="4">
        <f t="shared" si="28"/>
        <v>2196.9668735386017</v>
      </c>
      <c r="L174" s="4">
        <f t="shared" si="29"/>
        <v>2746.2085919232522</v>
      </c>
      <c r="N174" s="118" t="s">
        <v>2</v>
      </c>
      <c r="O174" s="119">
        <v>0.15</v>
      </c>
      <c r="P174" s="177">
        <f>U174-Y174*(W174/X174)</f>
        <v>220.37406441941329</v>
      </c>
      <c r="Q174" s="14">
        <f t="shared" ref="Q174:Q176" si="32">P174*$L$168</f>
        <v>275.46758052426662</v>
      </c>
      <c r="R174" s="19">
        <f>IF($Q$170=$R$170,$R$170,IF(RIGHT(N174)&gt;=RIGHT($R$167),$R$170,$Q$170))</f>
        <v>20</v>
      </c>
      <c r="S174" s="19" t="s">
        <v>186</v>
      </c>
      <c r="T174" s="155">
        <f>D174</f>
        <v>0.15317531586793945</v>
      </c>
      <c r="U174" s="156">
        <f>J174</f>
        <v>226.53479353860152</v>
      </c>
      <c r="V174" s="6"/>
      <c r="W174" s="162">
        <f>T174-O174</f>
        <v>3.1753158679394544E-3</v>
      </c>
      <c r="X174" s="162">
        <f>D173-D172</f>
        <v>9.864745663040278E-2</v>
      </c>
      <c r="Y174" s="156">
        <f>I173</f>
        <v>191.39521353860152</v>
      </c>
    </row>
    <row r="175" spans="1:25" x14ac:dyDescent="0.25">
      <c r="A175" s="240"/>
      <c r="B175" s="114">
        <v>5</v>
      </c>
      <c r="C175" s="117">
        <f t="shared" si="30"/>
        <v>4.24</v>
      </c>
      <c r="D175" s="162">
        <v>0.16917531586793944</v>
      </c>
      <c r="E175" s="6" t="s">
        <v>82</v>
      </c>
      <c r="F175" s="4">
        <v>129.25</v>
      </c>
      <c r="G175" s="6" t="s">
        <v>31</v>
      </c>
      <c r="H175" s="6"/>
      <c r="I175" s="4">
        <f>23.44*$K$1</f>
        <v>23.580640000000002</v>
      </c>
      <c r="J175" s="4">
        <f t="shared" si="31"/>
        <v>250.11543353860151</v>
      </c>
      <c r="K175" s="4">
        <f t="shared" si="28"/>
        <v>2220.5475135386014</v>
      </c>
      <c r="L175" s="4">
        <f t="shared" si="29"/>
        <v>2775.6843919232515</v>
      </c>
      <c r="N175" s="118" t="s">
        <v>3</v>
      </c>
      <c r="O175" s="119">
        <v>0.2</v>
      </c>
      <c r="P175" s="177">
        <f>U175-Y175*(W175/X175)-Y176</f>
        <v>553.84125627105391</v>
      </c>
      <c r="Q175" s="14">
        <f t="shared" si="32"/>
        <v>692.30157033881733</v>
      </c>
      <c r="R175" s="19">
        <f>IF($Q$170=$R$170,$R$170,IF(RIGHT(N175)&gt;=RIGHT($R$167),$R$170,$Q$170))</f>
        <v>20</v>
      </c>
      <c r="S175" s="19" t="s">
        <v>186</v>
      </c>
      <c r="T175" s="155">
        <f>D178</f>
        <v>0.21664643093004216</v>
      </c>
      <c r="U175" s="156">
        <f>J178</f>
        <v>594.87299971144068</v>
      </c>
      <c r="V175" s="6"/>
      <c r="W175" s="162">
        <f>T175-O175-W176</f>
        <v>8.6464309300421371E-3</v>
      </c>
      <c r="X175" s="162">
        <f>D175-D174</f>
        <v>1.5999999999999986E-2</v>
      </c>
      <c r="Y175" s="156">
        <f>I175</f>
        <v>23.580640000000002</v>
      </c>
    </row>
    <row r="176" spans="1:25" x14ac:dyDescent="0.25">
      <c r="A176" s="240"/>
      <c r="B176" s="114">
        <v>6</v>
      </c>
      <c r="C176" s="117">
        <f t="shared" si="30"/>
        <v>4.2</v>
      </c>
      <c r="D176" s="162">
        <v>0.17685580741939871</v>
      </c>
      <c r="E176" s="6" t="s">
        <v>49</v>
      </c>
      <c r="F176" s="4">
        <v>17.57</v>
      </c>
      <c r="G176" s="6" t="s">
        <v>33</v>
      </c>
      <c r="H176" s="6"/>
      <c r="I176" s="4">
        <f>19.89*$K$1</f>
        <v>20.009340000000002</v>
      </c>
      <c r="J176" s="4">
        <f t="shared" si="31"/>
        <v>270.12477353860152</v>
      </c>
      <c r="K176" s="4">
        <f t="shared" si="28"/>
        <v>2240.5568535386014</v>
      </c>
      <c r="L176" s="4">
        <f t="shared" si="29"/>
        <v>2800.6960669232517</v>
      </c>
      <c r="N176" s="118" t="s">
        <v>4</v>
      </c>
      <c r="O176" s="123">
        <f>D178</f>
        <v>0.21664643093004216</v>
      </c>
      <c r="P176" s="14">
        <f>J178</f>
        <v>594.87299971144068</v>
      </c>
      <c r="Q176" s="14">
        <f t="shared" si="32"/>
        <v>743.59124963930083</v>
      </c>
      <c r="R176" s="19">
        <f>IF($Q$170=$R$170,$R$170,IF(RIGHT(N176)&gt;=RIGHT($R$167),$R$170,$Q$170))</f>
        <v>20</v>
      </c>
      <c r="S176" s="19" t="s">
        <v>132</v>
      </c>
      <c r="T176" s="121"/>
      <c r="U176" s="13"/>
      <c r="V176" s="114"/>
      <c r="W176" s="121">
        <f>D177-D176</f>
        <v>8.0000000000000071E-3</v>
      </c>
      <c r="X176" s="121"/>
      <c r="Y176" s="176">
        <f>I177</f>
        <v>28.288720000000001</v>
      </c>
    </row>
    <row r="177" spans="1:25" x14ac:dyDescent="0.25">
      <c r="A177" s="240"/>
      <c r="B177" s="114">
        <v>7</v>
      </c>
      <c r="C177" s="117">
        <f t="shared" si="30"/>
        <v>4.16</v>
      </c>
      <c r="D177" s="162">
        <v>0.18485580741939872</v>
      </c>
      <c r="E177" s="6" t="s">
        <v>84</v>
      </c>
      <c r="F177" s="4">
        <v>152.68</v>
      </c>
      <c r="G177" s="6" t="s">
        <v>31</v>
      </c>
      <c r="H177" s="6"/>
      <c r="I177" s="4">
        <f>28.12*$K$1</f>
        <v>28.288720000000001</v>
      </c>
      <c r="J177" s="4">
        <f t="shared" si="31"/>
        <v>298.41349353860153</v>
      </c>
      <c r="K177" s="4">
        <f t="shared" si="28"/>
        <v>2268.8455735386015</v>
      </c>
      <c r="L177" s="4">
        <f t="shared" si="29"/>
        <v>2836.0569669232518</v>
      </c>
      <c r="N177" s="118" t="s">
        <v>5</v>
      </c>
      <c r="O177" s="119"/>
      <c r="P177" s="13"/>
      <c r="Q177" s="13"/>
      <c r="R177" s="19"/>
      <c r="S177" s="19"/>
      <c r="T177" s="121"/>
      <c r="U177" s="13"/>
      <c r="V177" s="114"/>
      <c r="W177" s="121"/>
      <c r="X177" s="121"/>
      <c r="Y177" s="13"/>
    </row>
    <row r="178" spans="1:25" x14ac:dyDescent="0.25">
      <c r="A178" s="240"/>
      <c r="B178" s="114">
        <v>8</v>
      </c>
      <c r="C178" s="117">
        <f t="shared" si="30"/>
        <v>4</v>
      </c>
      <c r="D178" s="162">
        <v>0.21664643093004216</v>
      </c>
      <c r="E178" s="6" t="s">
        <v>50</v>
      </c>
      <c r="F178" s="4" t="s">
        <v>126</v>
      </c>
      <c r="G178" s="6" t="s">
        <v>50</v>
      </c>
      <c r="H178" s="6"/>
      <c r="I178" s="4">
        <f>294.691358024691*$K$1</f>
        <v>296.45950617283916</v>
      </c>
      <c r="J178" s="4">
        <f t="shared" si="31"/>
        <v>594.87299971144068</v>
      </c>
      <c r="K178" s="4">
        <f t="shared" si="28"/>
        <v>2565.3050797114406</v>
      </c>
      <c r="L178" s="4">
        <f t="shared" si="29"/>
        <v>3206.6313496393009</v>
      </c>
      <c r="N178" s="118" t="s">
        <v>62</v>
      </c>
      <c r="O178" s="123"/>
      <c r="P178" s="15"/>
      <c r="Q178" s="15"/>
      <c r="R178" s="19"/>
      <c r="S178" s="19"/>
      <c r="T178" s="121"/>
      <c r="U178" s="121"/>
      <c r="V178" s="13"/>
      <c r="W178" s="114"/>
      <c r="X178" s="114"/>
      <c r="Y178" s="114"/>
    </row>
    <row r="179" spans="1:25" x14ac:dyDescent="0.25">
      <c r="A179" s="240"/>
      <c r="B179" s="114">
        <v>9</v>
      </c>
      <c r="C179" s="117"/>
      <c r="D179" s="162"/>
      <c r="E179" s="6"/>
      <c r="F179" s="1"/>
      <c r="G179" s="6"/>
      <c r="H179" s="6"/>
      <c r="I179" s="4"/>
      <c r="J179" s="4"/>
      <c r="K179" s="4"/>
      <c r="L179" s="4"/>
    </row>
    <row r="180" spans="1:25" ht="19.5" thickBot="1" x14ac:dyDescent="0.35">
      <c r="A180" s="240"/>
      <c r="B180" s="114">
        <v>10</v>
      </c>
      <c r="C180" s="174"/>
      <c r="D180" s="6"/>
      <c r="E180" s="6"/>
      <c r="F180" s="6"/>
      <c r="G180" s="6"/>
      <c r="H180" s="6"/>
      <c r="I180" s="6"/>
      <c r="J180" s="6"/>
      <c r="K180" s="4"/>
      <c r="L180" s="6"/>
      <c r="N180" s="131" t="s">
        <v>188</v>
      </c>
      <c r="O180" s="129"/>
      <c r="P180" s="129"/>
      <c r="Q180" s="129"/>
      <c r="R180" s="129"/>
      <c r="S180" s="129"/>
      <c r="T180" s="129"/>
      <c r="U180" s="129"/>
      <c r="V180" s="129"/>
    </row>
    <row r="181" spans="1:25" ht="15.75" customHeight="1" thickBot="1" x14ac:dyDescent="0.3">
      <c r="A181" s="240"/>
      <c r="C181" s="5"/>
      <c r="N181" s="313" t="s">
        <v>61</v>
      </c>
      <c r="O181" s="313" t="s">
        <v>15</v>
      </c>
      <c r="P181" s="313" t="s">
        <v>2</v>
      </c>
      <c r="Q181" s="313" t="s">
        <v>3</v>
      </c>
      <c r="R181" s="313" t="s">
        <v>4</v>
      </c>
      <c r="S181" s="313" t="s">
        <v>5</v>
      </c>
      <c r="T181" s="313" t="s">
        <v>62</v>
      </c>
      <c r="U181" s="313" t="s">
        <v>114</v>
      </c>
      <c r="V181" s="313"/>
    </row>
    <row r="182" spans="1:25" ht="15.75" thickBot="1" x14ac:dyDescent="0.3">
      <c r="A182" s="240"/>
      <c r="C182" s="5"/>
      <c r="K182" s="23"/>
      <c r="N182" s="271"/>
      <c r="O182" s="271"/>
      <c r="P182" s="271"/>
      <c r="Q182" s="271"/>
      <c r="R182" s="271"/>
      <c r="S182" s="271"/>
      <c r="T182" s="271"/>
      <c r="U182" s="146" t="s">
        <v>115</v>
      </c>
      <c r="V182" s="146" t="s">
        <v>116</v>
      </c>
    </row>
    <row r="183" spans="1:25" ht="15.75" thickBot="1" x14ac:dyDescent="0.3">
      <c r="A183" s="240"/>
      <c r="C183" s="5"/>
      <c r="K183" s="23"/>
      <c r="M183" s="23"/>
      <c r="N183" s="213">
        <f>P172</f>
        <v>0</v>
      </c>
      <c r="O183" s="213">
        <f>P173</f>
        <v>139.16911073667885</v>
      </c>
      <c r="P183" s="213">
        <f>P174</f>
        <v>220.37406441941329</v>
      </c>
      <c r="Q183" s="213">
        <f>P175</f>
        <v>553.84125627105391</v>
      </c>
      <c r="R183" s="221">
        <f>P176</f>
        <v>594.87299971144068</v>
      </c>
      <c r="S183" s="221">
        <f>P177</f>
        <v>0</v>
      </c>
      <c r="T183" s="221">
        <f>P178</f>
        <v>0</v>
      </c>
      <c r="U183" s="214">
        <f>MAX(O171:O177)</f>
        <v>0.21664643093004216</v>
      </c>
      <c r="V183" s="213">
        <f>MAX(M183:S183)</f>
        <v>594.87299971144068</v>
      </c>
    </row>
    <row r="184" spans="1:25" x14ac:dyDescent="0.25">
      <c r="A184" s="240"/>
      <c r="C184" s="5"/>
      <c r="K184" s="23"/>
    </row>
    <row r="185" spans="1:25" s="196" customFormat="1" x14ac:dyDescent="0.25">
      <c r="A185" s="242"/>
      <c r="C185" s="204"/>
      <c r="K185" s="199"/>
    </row>
    <row r="186" spans="1:25" s="196" customFormat="1" x14ac:dyDescent="0.25">
      <c r="A186" s="242"/>
      <c r="C186" s="204"/>
      <c r="K186" s="199"/>
    </row>
    <row r="187" spans="1:25" x14ac:dyDescent="0.25">
      <c r="A187" s="240"/>
      <c r="C187" s="5"/>
      <c r="K187" s="23"/>
    </row>
    <row r="188" spans="1:25" ht="19.5" thickBot="1" x14ac:dyDescent="0.35">
      <c r="A188" s="240"/>
      <c r="B188" s="131" t="s">
        <v>190</v>
      </c>
      <c r="C188" s="5"/>
      <c r="R188" s="130" t="s">
        <v>181</v>
      </c>
    </row>
    <row r="189" spans="1:25" ht="15.75" thickBot="1" x14ac:dyDescent="0.3">
      <c r="A189" s="240"/>
      <c r="B189" s="30"/>
      <c r="E189" s="97" t="s">
        <v>54</v>
      </c>
      <c r="F189" s="29">
        <v>5.0999999999999996</v>
      </c>
      <c r="H189" t="s">
        <v>175</v>
      </c>
      <c r="I189" s="216" t="s">
        <v>86</v>
      </c>
      <c r="L189" s="129" t="s">
        <v>180</v>
      </c>
      <c r="R189" s="138" t="s">
        <v>173</v>
      </c>
    </row>
    <row r="190" spans="1:25" ht="33.75" customHeight="1" thickBot="1" x14ac:dyDescent="0.35">
      <c r="A190" s="240"/>
      <c r="B190" s="304" t="s">
        <v>44</v>
      </c>
      <c r="C190" s="305"/>
      <c r="D190" s="303" t="s">
        <v>85</v>
      </c>
      <c r="E190" s="303"/>
      <c r="F190" s="303"/>
      <c r="G190" s="303"/>
      <c r="H190" s="303"/>
      <c r="I190" s="303"/>
      <c r="J190" s="303"/>
      <c r="K190" s="303"/>
      <c r="L190" s="100">
        <v>1.25</v>
      </c>
      <c r="N190" s="131" t="s">
        <v>189</v>
      </c>
      <c r="Q190" s="137" t="s">
        <v>182</v>
      </c>
      <c r="R190" s="137" t="s">
        <v>183</v>
      </c>
    </row>
    <row r="191" spans="1:25" ht="63.75" customHeight="1" thickBot="1" x14ac:dyDescent="0.3">
      <c r="A191" s="240"/>
      <c r="B191" s="299" t="s">
        <v>53</v>
      </c>
      <c r="C191" s="299" t="s">
        <v>17</v>
      </c>
      <c r="D191" s="299" t="s">
        <v>18</v>
      </c>
      <c r="E191" s="299" t="s">
        <v>19</v>
      </c>
      <c r="F191" s="307" t="s">
        <v>28</v>
      </c>
      <c r="G191" s="308"/>
      <c r="H191" s="309"/>
      <c r="I191" s="301" t="s">
        <v>26</v>
      </c>
      <c r="J191" s="302"/>
      <c r="K191" s="297" t="s">
        <v>52</v>
      </c>
      <c r="L191" s="297" t="s">
        <v>34</v>
      </c>
      <c r="N191" s="102" t="s">
        <v>44</v>
      </c>
      <c r="O191" s="103" t="s">
        <v>0</v>
      </c>
      <c r="P191" s="104" t="s">
        <v>55</v>
      </c>
      <c r="Q191" s="101" t="s">
        <v>97</v>
      </c>
      <c r="R191" s="101" t="s">
        <v>98</v>
      </c>
      <c r="S191" s="105" t="s">
        <v>1</v>
      </c>
    </row>
    <row r="192" spans="1:25" ht="25.5" x14ac:dyDescent="0.25">
      <c r="A192" s="240"/>
      <c r="B192" s="300"/>
      <c r="C192" s="300"/>
      <c r="D192" s="300"/>
      <c r="E192" s="300"/>
      <c r="F192" s="106" t="s">
        <v>27</v>
      </c>
      <c r="G192" s="106" t="s">
        <v>29</v>
      </c>
      <c r="H192" s="128" t="s">
        <v>176</v>
      </c>
      <c r="I192" s="106" t="s">
        <v>25</v>
      </c>
      <c r="J192" s="107" t="s">
        <v>24</v>
      </c>
      <c r="K192" s="298"/>
      <c r="L192" s="298"/>
      <c r="N192" s="108" t="s">
        <v>45</v>
      </c>
      <c r="O192" s="109">
        <v>0.14899999999999999</v>
      </c>
      <c r="P192" s="110">
        <v>2400</v>
      </c>
      <c r="Q192" s="111">
        <v>19.7</v>
      </c>
      <c r="R192" s="160">
        <f>Q192</f>
        <v>19.7</v>
      </c>
      <c r="S192" s="167" t="s">
        <v>12</v>
      </c>
    </row>
    <row r="193" spans="1:25" ht="30" x14ac:dyDescent="0.25">
      <c r="A193" s="240"/>
      <c r="B193" s="114">
        <v>1</v>
      </c>
      <c r="C193" s="206">
        <v>5.0999999999999996</v>
      </c>
      <c r="D193" s="215">
        <v>0</v>
      </c>
      <c r="E193" s="161" t="s">
        <v>20</v>
      </c>
      <c r="F193" s="127" t="s">
        <v>126</v>
      </c>
      <c r="G193" s="161" t="s">
        <v>20</v>
      </c>
      <c r="H193" s="134" t="s">
        <v>173</v>
      </c>
      <c r="I193" s="127">
        <v>0</v>
      </c>
      <c r="J193" s="127">
        <v>0</v>
      </c>
      <c r="K193" s="208">
        <f>3183.41*$K$1</f>
        <v>3202.51046</v>
      </c>
      <c r="L193" s="31">
        <f>K193*$L$190</f>
        <v>4003.1380749999998</v>
      </c>
      <c r="N193" s="116" t="s">
        <v>56</v>
      </c>
      <c r="O193" s="116" t="s">
        <v>57</v>
      </c>
      <c r="P193" s="116" t="s">
        <v>58</v>
      </c>
      <c r="Q193" s="116" t="s">
        <v>96</v>
      </c>
      <c r="R193" s="116" t="s">
        <v>99</v>
      </c>
      <c r="S193" s="142" t="s">
        <v>184</v>
      </c>
      <c r="T193" s="314" t="s">
        <v>59</v>
      </c>
      <c r="U193" s="315"/>
      <c r="V193" s="315"/>
      <c r="W193" s="315"/>
      <c r="X193" s="315"/>
      <c r="Y193" s="316"/>
    </row>
    <row r="194" spans="1:25" x14ac:dyDescent="0.25">
      <c r="A194" s="240"/>
      <c r="B194" s="114">
        <v>2</v>
      </c>
      <c r="C194" s="117">
        <f>ROUND($C$193*(1-D194),2)</f>
        <v>4.8099999999999996</v>
      </c>
      <c r="D194" s="179">
        <v>5.697577276524652E-2</v>
      </c>
      <c r="E194" s="6" t="s">
        <v>129</v>
      </c>
      <c r="F194" s="4">
        <v>771.92</v>
      </c>
      <c r="G194" s="6" t="s">
        <v>30</v>
      </c>
      <c r="H194" s="154" t="s">
        <v>177</v>
      </c>
      <c r="I194" s="230">
        <f>(F12*1.05^((LOG(6.32/5.68)/LOG(1.02)))-F12)*$K$1</f>
        <v>98.537103598731179</v>
      </c>
      <c r="J194" s="4">
        <f>I194+J193</f>
        <v>98.537103598731179</v>
      </c>
      <c r="K194" s="4">
        <f t="shared" ref="K194:K199" si="33">$K$193+J194</f>
        <v>3301.0475635987314</v>
      </c>
      <c r="L194" s="4">
        <f t="shared" ref="L194:L198" si="34">K194*$L$190</f>
        <v>4126.3094544984142</v>
      </c>
      <c r="N194" s="118" t="s">
        <v>61</v>
      </c>
      <c r="O194" s="119">
        <v>0</v>
      </c>
      <c r="P194" s="14">
        <f>J193</f>
        <v>0</v>
      </c>
      <c r="Q194" s="14">
        <f>L193</f>
        <v>4003.1380749999998</v>
      </c>
      <c r="R194" s="19">
        <f>IF($Q$192=$R$192,$R$192,IF(RIGHT(N194)&gt;=RIGHT($R$189),$R$192,$Q$192))</f>
        <v>19.7</v>
      </c>
      <c r="S194" s="19" t="s">
        <v>173</v>
      </c>
      <c r="T194" s="6"/>
      <c r="U194" s="6"/>
      <c r="V194" s="6"/>
      <c r="W194" s="6"/>
      <c r="X194" s="6"/>
      <c r="Y194" s="6"/>
    </row>
    <row r="195" spans="1:25" x14ac:dyDescent="0.25">
      <c r="A195" s="240"/>
      <c r="B195" s="114">
        <v>3</v>
      </c>
      <c r="C195" s="117">
        <f t="shared" ref="C195:C199" si="35">ROUND($C$193*(1-D195),2)</f>
        <v>4.4400000000000004</v>
      </c>
      <c r="D195" s="179">
        <v>0.12897577276524652</v>
      </c>
      <c r="E195" s="6" t="s">
        <v>87</v>
      </c>
      <c r="F195" s="4">
        <v>97.33</v>
      </c>
      <c r="G195" s="6" t="s">
        <v>31</v>
      </c>
      <c r="H195" s="154" t="s">
        <v>177</v>
      </c>
      <c r="I195" s="1">
        <f>105.57*$K$1</f>
        <v>106.20341999999999</v>
      </c>
      <c r="J195" s="4">
        <f t="shared" ref="J195:J199" si="36">I195+J194</f>
        <v>204.74052359873116</v>
      </c>
      <c r="K195" s="4">
        <f t="shared" si="33"/>
        <v>3407.2509835987312</v>
      </c>
      <c r="L195" s="4">
        <f t="shared" si="34"/>
        <v>4259.0637294984135</v>
      </c>
      <c r="N195" s="118" t="s">
        <v>15</v>
      </c>
      <c r="O195" s="119">
        <v>0.1</v>
      </c>
      <c r="P195" s="14">
        <f>J194+(J195-J194)*(O195-D194)/(D195-D194)</f>
        <v>161.99988242078621</v>
      </c>
      <c r="Q195" s="14">
        <f>P195*$L$190</f>
        <v>202.49985302598276</v>
      </c>
      <c r="R195" s="19">
        <f>IF($Q$192=$R$192,$R$192,IF(RIGHT(N195)&gt;=RIGHT($R$189),$R$192,$Q$192))</f>
        <v>19.7</v>
      </c>
      <c r="S195" s="19" t="s">
        <v>185</v>
      </c>
      <c r="T195" s="2"/>
      <c r="U195" s="2"/>
      <c r="V195" s="6"/>
      <c r="W195" s="6"/>
      <c r="X195" s="6"/>
      <c r="Y195" s="6"/>
    </row>
    <row r="196" spans="1:25" x14ac:dyDescent="0.25">
      <c r="A196" s="240"/>
      <c r="B196" s="114">
        <v>4</v>
      </c>
      <c r="C196" s="117">
        <f t="shared" si="35"/>
        <v>4.38</v>
      </c>
      <c r="D196" s="179">
        <v>0.14130758509705885</v>
      </c>
      <c r="E196" s="6" t="s">
        <v>80</v>
      </c>
      <c r="F196" s="4">
        <v>41.82</v>
      </c>
      <c r="G196" s="6" t="s">
        <v>33</v>
      </c>
      <c r="H196" s="154" t="s">
        <v>178</v>
      </c>
      <c r="I196" s="1">
        <f>39.36*$K$1</f>
        <v>39.596159999999998</v>
      </c>
      <c r="J196" s="4">
        <f t="shared" si="36"/>
        <v>244.33668359873116</v>
      </c>
      <c r="K196" s="4">
        <f t="shared" si="33"/>
        <v>3446.8471435987312</v>
      </c>
      <c r="L196" s="4">
        <f t="shared" si="34"/>
        <v>4308.5589294984138</v>
      </c>
      <c r="N196" s="118" t="s">
        <v>2</v>
      </c>
      <c r="O196" s="119">
        <v>0.15</v>
      </c>
      <c r="P196" s="14">
        <f>J196+(J197-J196)*(O196-D196)/(D197-D196)</f>
        <v>276.81878408707479</v>
      </c>
      <c r="Q196" s="14">
        <f t="shared" ref="Q196:Q198" si="37">P196*$L$190</f>
        <v>346.0234801088435</v>
      </c>
      <c r="R196" s="19">
        <f>IF($Q$192=$R$192,$R$192,IF(RIGHT(N196)&gt;=RIGHT($R$189),$R$192,$Q$192))</f>
        <v>19.7</v>
      </c>
      <c r="S196" s="19" t="s">
        <v>185</v>
      </c>
      <c r="T196" s="2"/>
      <c r="U196" s="2"/>
      <c r="V196" s="6"/>
      <c r="W196" s="6"/>
      <c r="X196" s="6"/>
      <c r="Y196" s="6"/>
    </row>
    <row r="197" spans="1:25" x14ac:dyDescent="0.25">
      <c r="A197" s="240"/>
      <c r="B197" s="114">
        <v>5</v>
      </c>
      <c r="C197" s="117">
        <f t="shared" si="35"/>
        <v>4.28</v>
      </c>
      <c r="D197" s="179">
        <v>0.16110758509705886</v>
      </c>
      <c r="E197" s="6" t="s">
        <v>130</v>
      </c>
      <c r="F197" s="4">
        <v>202.9</v>
      </c>
      <c r="G197" s="6" t="s">
        <v>31</v>
      </c>
      <c r="H197" s="154" t="s">
        <v>177</v>
      </c>
      <c r="I197" s="1">
        <f>73.548*$K$1</f>
        <v>73.989288000000002</v>
      </c>
      <c r="J197" s="4">
        <f t="shared" si="36"/>
        <v>318.32597159873114</v>
      </c>
      <c r="K197" s="4">
        <f t="shared" si="33"/>
        <v>3520.836431598731</v>
      </c>
      <c r="L197" s="4">
        <f t="shared" si="34"/>
        <v>4401.0455394984137</v>
      </c>
      <c r="N197" s="118" t="s">
        <v>3</v>
      </c>
      <c r="O197" s="119">
        <v>0.2</v>
      </c>
      <c r="P197" s="177">
        <f>U197-Y197*(W197/X197)</f>
        <v>814.08492795623124</v>
      </c>
      <c r="Q197" s="14">
        <f t="shared" si="37"/>
        <v>1017.6061599452891</v>
      </c>
      <c r="R197" s="19">
        <f>IF($Q$192=$R$192,$R$192,IF(RIGHT(N197)&gt;=RIGHT($R$189),$R$192,$Q$192))</f>
        <v>19.7</v>
      </c>
      <c r="S197" s="19" t="s">
        <v>186</v>
      </c>
      <c r="T197" s="155">
        <f>D199</f>
        <v>0.21193126186514613</v>
      </c>
      <c r="U197" s="156">
        <f>J199</f>
        <v>858.67005777157033</v>
      </c>
      <c r="V197" s="6"/>
      <c r="W197" s="162">
        <f>T197-O197</f>
        <v>1.193126186514612E-2</v>
      </c>
      <c r="X197" s="162">
        <f>D197-D196</f>
        <v>1.9800000000000012E-2</v>
      </c>
      <c r="Y197" s="156">
        <f>I197</f>
        <v>73.989288000000002</v>
      </c>
    </row>
    <row r="198" spans="1:25" x14ac:dyDescent="0.25">
      <c r="A198" s="240"/>
      <c r="B198" s="114">
        <v>6</v>
      </c>
      <c r="C198" s="117">
        <f t="shared" si="35"/>
        <v>4.18</v>
      </c>
      <c r="D198" s="179">
        <v>0.1799492839387577</v>
      </c>
      <c r="E198" s="6" t="s">
        <v>88</v>
      </c>
      <c r="F198" s="4">
        <v>109.25</v>
      </c>
      <c r="G198" s="6" t="s">
        <v>32</v>
      </c>
      <c r="H198" s="154" t="s">
        <v>178</v>
      </c>
      <c r="I198" s="1">
        <f>92.43*$K$1</f>
        <v>92.984580000000008</v>
      </c>
      <c r="J198" s="4">
        <f t="shared" si="36"/>
        <v>411.31055159873114</v>
      </c>
      <c r="K198" s="4">
        <f t="shared" si="33"/>
        <v>3613.8210115987313</v>
      </c>
      <c r="L198" s="4">
        <f t="shared" si="34"/>
        <v>4517.2762644984141</v>
      </c>
      <c r="N198" s="118" t="s">
        <v>4</v>
      </c>
      <c r="O198" s="123">
        <f>D199</f>
        <v>0.21193126186514613</v>
      </c>
      <c r="P198" s="14">
        <f>J199</f>
        <v>858.67005777157033</v>
      </c>
      <c r="Q198" s="14">
        <f t="shared" si="37"/>
        <v>1073.3375722144629</v>
      </c>
      <c r="R198" s="19">
        <f>IF($Q$192=$R$192,$R$192,IF(RIGHT(N198)&gt;=RIGHT($R$189),$R$192,$Q$192))</f>
        <v>19.7</v>
      </c>
      <c r="S198" s="19" t="s">
        <v>132</v>
      </c>
      <c r="T198" s="121"/>
      <c r="U198" s="13"/>
      <c r="V198" s="114"/>
      <c r="W198" s="121"/>
      <c r="X198" s="121"/>
      <c r="Y198" s="177"/>
    </row>
    <row r="199" spans="1:25" x14ac:dyDescent="0.25">
      <c r="A199" s="240"/>
      <c r="B199" s="114">
        <v>7</v>
      </c>
      <c r="C199" s="117">
        <f t="shared" si="35"/>
        <v>4.0199999999999996</v>
      </c>
      <c r="D199" s="179">
        <v>0.21193126186514613</v>
      </c>
      <c r="E199" s="6" t="s">
        <v>50</v>
      </c>
      <c r="F199" s="1" t="s">
        <v>126</v>
      </c>
      <c r="G199" s="6" t="s">
        <v>50</v>
      </c>
      <c r="H199" s="154" t="s">
        <v>178</v>
      </c>
      <c r="I199" s="1">
        <f>444.691358024691*$K$1</f>
        <v>447.35950617283913</v>
      </c>
      <c r="J199" s="4">
        <f t="shared" si="36"/>
        <v>858.67005777157033</v>
      </c>
      <c r="K199" s="4">
        <f t="shared" si="33"/>
        <v>4061.1805177715705</v>
      </c>
      <c r="L199" s="4">
        <f>K199*$L$190</f>
        <v>5076.4756472144636</v>
      </c>
      <c r="N199" s="118" t="s">
        <v>5</v>
      </c>
      <c r="O199" s="119"/>
      <c r="P199" s="13"/>
      <c r="Q199" s="13"/>
      <c r="R199" s="19"/>
      <c r="S199" s="19"/>
      <c r="T199" s="121"/>
      <c r="U199" s="13"/>
      <c r="V199" s="114"/>
      <c r="W199" s="121"/>
      <c r="X199" s="121"/>
      <c r="Y199" s="13"/>
    </row>
    <row r="200" spans="1:25" x14ac:dyDescent="0.25">
      <c r="A200" s="240"/>
      <c r="B200" s="114">
        <v>8</v>
      </c>
      <c r="C200" s="174"/>
      <c r="D200" s="6"/>
      <c r="E200" s="6"/>
      <c r="F200" s="6"/>
      <c r="G200" s="6"/>
      <c r="H200" s="6"/>
      <c r="I200" s="6"/>
      <c r="J200" s="6"/>
      <c r="K200" s="6"/>
      <c r="L200" s="6"/>
      <c r="N200" s="118" t="s">
        <v>62</v>
      </c>
      <c r="O200" s="123"/>
      <c r="P200" s="15"/>
      <c r="Q200" s="15"/>
      <c r="R200" s="19"/>
      <c r="S200" s="19"/>
      <c r="T200" s="121"/>
      <c r="U200" s="121"/>
      <c r="V200" s="13"/>
      <c r="W200" s="114"/>
      <c r="X200" s="114"/>
      <c r="Y200" s="114"/>
    </row>
    <row r="201" spans="1:25" x14ac:dyDescent="0.25">
      <c r="A201" s="240"/>
      <c r="B201" s="114">
        <v>9</v>
      </c>
      <c r="C201" s="174"/>
      <c r="D201" s="6"/>
      <c r="E201" s="6"/>
      <c r="F201" s="6"/>
      <c r="G201" s="6"/>
      <c r="H201" s="6"/>
      <c r="I201" s="6"/>
      <c r="J201" s="6"/>
      <c r="K201" s="6"/>
      <c r="L201" s="6"/>
    </row>
    <row r="202" spans="1:25" ht="19.5" thickBot="1" x14ac:dyDescent="0.35">
      <c r="A202" s="240"/>
      <c r="B202" s="114">
        <v>10</v>
      </c>
      <c r="C202" s="174"/>
      <c r="D202" s="6"/>
      <c r="E202" s="6"/>
      <c r="F202" s="6"/>
      <c r="G202" s="6"/>
      <c r="H202" s="6"/>
      <c r="I202" s="6"/>
      <c r="J202" s="6"/>
      <c r="K202" s="6"/>
      <c r="L202" s="6"/>
      <c r="N202" s="131" t="s">
        <v>188</v>
      </c>
      <c r="O202" s="129"/>
      <c r="P202" s="129"/>
      <c r="Q202" s="129"/>
      <c r="R202" s="129"/>
      <c r="S202" s="129"/>
      <c r="T202" s="129"/>
      <c r="U202" s="129"/>
      <c r="V202" s="129"/>
    </row>
    <row r="203" spans="1:25" ht="15.75" thickBot="1" x14ac:dyDescent="0.3">
      <c r="A203" s="240"/>
      <c r="C203" s="11"/>
      <c r="N203" s="313" t="s">
        <v>61</v>
      </c>
      <c r="O203" s="313" t="s">
        <v>15</v>
      </c>
      <c r="P203" s="313" t="s">
        <v>2</v>
      </c>
      <c r="Q203" s="313" t="s">
        <v>3</v>
      </c>
      <c r="R203" s="313" t="s">
        <v>4</v>
      </c>
      <c r="S203" s="313" t="s">
        <v>5</v>
      </c>
      <c r="T203" s="313" t="s">
        <v>62</v>
      </c>
      <c r="U203" s="313" t="s">
        <v>114</v>
      </c>
      <c r="V203" s="313"/>
    </row>
    <row r="204" spans="1:25" ht="15.75" thickBot="1" x14ac:dyDescent="0.3">
      <c r="A204" s="240"/>
      <c r="C204" s="11"/>
      <c r="N204" s="271"/>
      <c r="O204" s="271"/>
      <c r="P204" s="271"/>
      <c r="Q204" s="271"/>
      <c r="R204" s="271"/>
      <c r="S204" s="271"/>
      <c r="T204" s="271"/>
      <c r="U204" s="146" t="s">
        <v>115</v>
      </c>
      <c r="V204" s="146" t="s">
        <v>116</v>
      </c>
    </row>
    <row r="205" spans="1:25" ht="15.75" thickBot="1" x14ac:dyDescent="0.3">
      <c r="A205" s="240"/>
      <c r="C205" s="11"/>
      <c r="M205" s="23"/>
      <c r="N205" s="213">
        <f>P194</f>
        <v>0</v>
      </c>
      <c r="O205" s="213">
        <f>P195</f>
        <v>161.99988242078621</v>
      </c>
      <c r="P205" s="213">
        <f>P196</f>
        <v>276.81878408707479</v>
      </c>
      <c r="Q205" s="213">
        <f>P197</f>
        <v>814.08492795623124</v>
      </c>
      <c r="R205" s="221">
        <f>P198</f>
        <v>858.67005777157033</v>
      </c>
      <c r="S205" s="221">
        <f>P199</f>
        <v>0</v>
      </c>
      <c r="T205" s="221">
        <f>P200</f>
        <v>0</v>
      </c>
      <c r="U205" s="214">
        <f>MAX(O193:O200)</f>
        <v>0.21193126186514613</v>
      </c>
      <c r="V205" s="213">
        <f>MAX(N205:T205)</f>
        <v>858.67005777157033</v>
      </c>
    </row>
    <row r="206" spans="1:25" x14ac:dyDescent="0.25">
      <c r="A206" s="240"/>
      <c r="C206" s="11"/>
      <c r="O206" s="25"/>
      <c r="P206" s="23"/>
    </row>
    <row r="207" spans="1:25" s="196" customFormat="1" x14ac:dyDescent="0.25">
      <c r="A207" s="242"/>
      <c r="C207" s="217"/>
      <c r="O207" s="198"/>
      <c r="P207" s="199"/>
    </row>
    <row r="208" spans="1:25" s="196" customFormat="1" x14ac:dyDescent="0.25">
      <c r="A208" s="242"/>
      <c r="C208" s="217"/>
      <c r="O208" s="198"/>
      <c r="P208" s="199"/>
    </row>
    <row r="209" spans="1:25" x14ac:dyDescent="0.25">
      <c r="A209" s="240"/>
      <c r="C209" s="5"/>
      <c r="I209" s="23"/>
    </row>
    <row r="210" spans="1:25" ht="19.5" thickBot="1" x14ac:dyDescent="0.35">
      <c r="A210" s="240"/>
      <c r="B210" s="131" t="s">
        <v>190</v>
      </c>
      <c r="R210" s="130" t="s">
        <v>181</v>
      </c>
    </row>
    <row r="211" spans="1:25" ht="15.75" thickBot="1" x14ac:dyDescent="0.3">
      <c r="A211" s="240"/>
      <c r="E211" s="97" t="s">
        <v>54</v>
      </c>
      <c r="F211" s="9">
        <f>18-0.0469*P214</f>
        <v>12.841000000000001</v>
      </c>
      <c r="H211" t="s">
        <v>175</v>
      </c>
      <c r="I211" s="99" t="s">
        <v>89</v>
      </c>
      <c r="L211" s="129" t="s">
        <v>180</v>
      </c>
      <c r="R211" s="101" t="s">
        <v>4</v>
      </c>
    </row>
    <row r="212" spans="1:25" ht="36" customHeight="1" thickBot="1" x14ac:dyDescent="0.35">
      <c r="A212" s="240"/>
      <c r="B212" s="304" t="s">
        <v>36</v>
      </c>
      <c r="C212" s="305"/>
      <c r="D212" s="303" t="s">
        <v>91</v>
      </c>
      <c r="E212" s="303"/>
      <c r="F212" s="303"/>
      <c r="G212" s="303"/>
      <c r="H212" s="303"/>
      <c r="I212" s="303"/>
      <c r="J212" s="303"/>
      <c r="K212" s="303"/>
      <c r="L212" s="100">
        <v>1.25</v>
      </c>
      <c r="N212" s="131" t="s">
        <v>189</v>
      </c>
      <c r="Q212" s="137" t="s">
        <v>182</v>
      </c>
      <c r="R212" s="137" t="s">
        <v>183</v>
      </c>
    </row>
    <row r="213" spans="1:25" ht="55.5" customHeight="1" thickBot="1" x14ac:dyDescent="0.3">
      <c r="A213" s="240"/>
      <c r="B213" s="299" t="s">
        <v>53</v>
      </c>
      <c r="C213" s="299" t="s">
        <v>21</v>
      </c>
      <c r="D213" s="299" t="s">
        <v>22</v>
      </c>
      <c r="E213" s="299" t="s">
        <v>19</v>
      </c>
      <c r="F213" s="307" t="s">
        <v>28</v>
      </c>
      <c r="G213" s="308"/>
      <c r="H213" s="309"/>
      <c r="I213" s="301" t="s">
        <v>26</v>
      </c>
      <c r="J213" s="302"/>
      <c r="K213" s="297" t="s">
        <v>52</v>
      </c>
      <c r="L213" s="297" t="s">
        <v>34</v>
      </c>
      <c r="N213" s="102" t="s">
        <v>14</v>
      </c>
      <c r="O213" s="103" t="s">
        <v>0</v>
      </c>
      <c r="P213" s="104" t="s">
        <v>55</v>
      </c>
      <c r="Q213" s="101" t="s">
        <v>97</v>
      </c>
      <c r="R213" s="101" t="s">
        <v>98</v>
      </c>
      <c r="S213" s="105" t="s">
        <v>1</v>
      </c>
    </row>
    <row r="214" spans="1:25" ht="25.5" x14ac:dyDescent="0.25">
      <c r="A214" s="240"/>
      <c r="B214" s="300"/>
      <c r="C214" s="300"/>
      <c r="D214" s="300"/>
      <c r="E214" s="300"/>
      <c r="F214" s="106" t="s">
        <v>27</v>
      </c>
      <c r="G214" s="106" t="s">
        <v>29</v>
      </c>
      <c r="H214" s="128" t="s">
        <v>176</v>
      </c>
      <c r="I214" s="106" t="s">
        <v>25</v>
      </c>
      <c r="J214" s="107" t="s">
        <v>24</v>
      </c>
      <c r="K214" s="298"/>
      <c r="L214" s="298"/>
      <c r="N214" s="108" t="s">
        <v>8</v>
      </c>
      <c r="O214" s="109">
        <v>0.31170194157775061</v>
      </c>
      <c r="P214" s="110">
        <v>110</v>
      </c>
      <c r="Q214" s="111">
        <v>34</v>
      </c>
      <c r="R214" s="160">
        <v>20</v>
      </c>
      <c r="S214" s="167" t="s">
        <v>12</v>
      </c>
    </row>
    <row r="215" spans="1:25" ht="30" x14ac:dyDescent="0.25">
      <c r="A215" s="240"/>
      <c r="B215" s="114">
        <v>1</v>
      </c>
      <c r="C215" s="114">
        <v>12.84</v>
      </c>
      <c r="D215" s="215">
        <v>0</v>
      </c>
      <c r="E215" s="161" t="s">
        <v>20</v>
      </c>
      <c r="F215" s="127" t="s">
        <v>126</v>
      </c>
      <c r="G215" s="161" t="s">
        <v>20</v>
      </c>
      <c r="H215" s="134" t="s">
        <v>173</v>
      </c>
      <c r="I215" s="127">
        <v>0</v>
      </c>
      <c r="J215" s="127">
        <v>0</v>
      </c>
      <c r="K215" s="14">
        <f>1045.15*$K$1</f>
        <v>1051.4209000000001</v>
      </c>
      <c r="L215" s="31">
        <f>K215*$L$212</f>
        <v>1314.2761250000001</v>
      </c>
      <c r="N215" s="116" t="s">
        <v>56</v>
      </c>
      <c r="O215" s="116" t="s">
        <v>57</v>
      </c>
      <c r="P215" s="116" t="s">
        <v>58</v>
      </c>
      <c r="Q215" s="116" t="s">
        <v>96</v>
      </c>
      <c r="R215" s="116" t="s">
        <v>99</v>
      </c>
      <c r="S215" s="142" t="s">
        <v>184</v>
      </c>
      <c r="T215" s="314" t="s">
        <v>59</v>
      </c>
      <c r="U215" s="315"/>
      <c r="V215" s="315"/>
      <c r="W215" s="315"/>
      <c r="X215" s="315"/>
      <c r="Y215" s="316"/>
    </row>
    <row r="216" spans="1:25" ht="15.75" customHeight="1" x14ac:dyDescent="0.25">
      <c r="A216" s="241">
        <f>D216-D215</f>
        <v>5.5999999999999994E-2</v>
      </c>
      <c r="B216" s="114">
        <v>2</v>
      </c>
      <c r="C216" s="117">
        <f>ROUND($C$215*(1-D216),2)</f>
        <v>12.12</v>
      </c>
      <c r="D216" s="179">
        <v>5.5999999999999994E-2</v>
      </c>
      <c r="E216" s="6" t="s">
        <v>90</v>
      </c>
      <c r="F216" s="4">
        <v>39.08</v>
      </c>
      <c r="G216" s="6" t="s">
        <v>31</v>
      </c>
      <c r="H216" s="154" t="s">
        <v>177</v>
      </c>
      <c r="I216" s="4">
        <f>9.82*$K$1</f>
        <v>9.8789200000000008</v>
      </c>
      <c r="J216" s="4">
        <f>I216+J215</f>
        <v>9.8789200000000008</v>
      </c>
      <c r="K216" s="4">
        <f t="shared" ref="K216:K222" si="38">$K$215+J216</f>
        <v>1061.2998200000002</v>
      </c>
      <c r="L216" s="4">
        <f t="shared" ref="L216:L222" si="39">K216*$L$212</f>
        <v>1326.6247750000002</v>
      </c>
      <c r="N216" s="118" t="s">
        <v>61</v>
      </c>
      <c r="O216" s="119">
        <v>0</v>
      </c>
      <c r="P216" s="14">
        <f>J215</f>
        <v>0</v>
      </c>
      <c r="Q216" s="14">
        <f>L215</f>
        <v>1314.2761250000001</v>
      </c>
      <c r="R216" s="19">
        <f t="shared" ref="R216:R222" si="40">IF($Q$214=$R$214,$R$214,IF(RIGHT(N216)&gt;=RIGHT($R$211),$R$214,$Q$214))</f>
        <v>34</v>
      </c>
      <c r="S216" s="19" t="s">
        <v>173</v>
      </c>
      <c r="T216" s="6"/>
      <c r="U216" s="6"/>
      <c r="V216" s="6"/>
      <c r="W216" s="6"/>
      <c r="X216" s="6"/>
      <c r="Y216" s="6"/>
    </row>
    <row r="217" spans="1:25" x14ac:dyDescent="0.25">
      <c r="A217" s="241">
        <f t="shared" ref="A217:A222" si="41">D217-D216</f>
        <v>0.16361556064073224</v>
      </c>
      <c r="B217" s="114">
        <v>3</v>
      </c>
      <c r="C217" s="117">
        <f t="shared" ref="C217:C222" si="42">ROUND($C$215*(1-D217),2)</f>
        <v>10.02</v>
      </c>
      <c r="D217" s="179">
        <v>0.21961556064073223</v>
      </c>
      <c r="E217" s="6" t="s">
        <v>134</v>
      </c>
      <c r="F217" s="4">
        <v>193.7</v>
      </c>
      <c r="G217" s="6" t="s">
        <v>30</v>
      </c>
      <c r="H217" s="154" t="s">
        <v>177</v>
      </c>
      <c r="I217" s="229">
        <f>(F12*1.05^((LOG(4.6/3.3)/LOG(1.02)))-F12)*$K$1</f>
        <v>414.80565710425014</v>
      </c>
      <c r="J217" s="4">
        <f t="shared" ref="J217:J222" si="43">I217+J216</f>
        <v>424.68457710425014</v>
      </c>
      <c r="K217" s="4">
        <f t="shared" si="38"/>
        <v>1476.1054771042502</v>
      </c>
      <c r="L217" s="4">
        <f t="shared" si="39"/>
        <v>1845.1318463803127</v>
      </c>
      <c r="N217" s="118" t="s">
        <v>15</v>
      </c>
      <c r="O217" s="119">
        <v>0.1</v>
      </c>
      <c r="P217" s="14">
        <f>J216+(J217-J216)*(O217-D216)/(D217-D216)</f>
        <v>121.42973363357379</v>
      </c>
      <c r="Q217" s="14">
        <f>P217*$L$212</f>
        <v>151.78716704196722</v>
      </c>
      <c r="R217" s="19">
        <f t="shared" si="40"/>
        <v>34</v>
      </c>
      <c r="S217" s="19" t="s">
        <v>185</v>
      </c>
      <c r="T217" s="2"/>
      <c r="U217" s="2"/>
      <c r="V217" s="6"/>
      <c r="W217" s="6"/>
      <c r="X217" s="6"/>
      <c r="Y217" s="6"/>
    </row>
    <row r="218" spans="1:25" x14ac:dyDescent="0.25">
      <c r="A218" s="241">
        <f t="shared" si="41"/>
        <v>1.4827170790473548E-2</v>
      </c>
      <c r="B218" s="114">
        <v>4</v>
      </c>
      <c r="C218" s="117">
        <f t="shared" si="42"/>
        <v>9.83</v>
      </c>
      <c r="D218" s="179">
        <v>0.23444273143120578</v>
      </c>
      <c r="E218" s="6" t="s">
        <v>47</v>
      </c>
      <c r="F218" s="4">
        <v>11.76</v>
      </c>
      <c r="G218" s="6" t="s">
        <v>32</v>
      </c>
      <c r="H218" s="154" t="s">
        <v>177</v>
      </c>
      <c r="I218" s="4">
        <f>7.58*$K$1</f>
        <v>7.6254800000000005</v>
      </c>
      <c r="J218" s="4">
        <f t="shared" si="43"/>
        <v>432.31005710425012</v>
      </c>
      <c r="K218" s="4">
        <f t="shared" si="38"/>
        <v>1483.7309571042501</v>
      </c>
      <c r="L218" s="4">
        <f t="shared" si="39"/>
        <v>1854.6636963803126</v>
      </c>
      <c r="N218" s="118" t="s">
        <v>2</v>
      </c>
      <c r="O218" s="119">
        <v>0.15</v>
      </c>
      <c r="P218" s="14">
        <f>J216+(J217-J216)*(O218-D216)/(D217-D216)</f>
        <v>248.19202185354391</v>
      </c>
      <c r="Q218" s="14">
        <f t="shared" ref="Q218:Q221" si="44">P218*$L$212</f>
        <v>310.24002731692985</v>
      </c>
      <c r="R218" s="19">
        <f t="shared" si="40"/>
        <v>34</v>
      </c>
      <c r="S218" s="19" t="s">
        <v>185</v>
      </c>
      <c r="T218" s="2"/>
      <c r="U218" s="2"/>
      <c r="V218" s="6"/>
      <c r="W218" s="6"/>
      <c r="X218" s="6"/>
      <c r="Y218" s="6"/>
    </row>
    <row r="219" spans="1:25" x14ac:dyDescent="0.25">
      <c r="A219" s="241">
        <f t="shared" si="41"/>
        <v>3.2000000000000001E-2</v>
      </c>
      <c r="B219" s="114">
        <v>5</v>
      </c>
      <c r="C219" s="117">
        <f t="shared" si="42"/>
        <v>9.42</v>
      </c>
      <c r="D219" s="179">
        <v>0.26644273143120578</v>
      </c>
      <c r="E219" s="6" t="s">
        <v>64</v>
      </c>
      <c r="F219" s="4" t="s">
        <v>126</v>
      </c>
      <c r="G219" s="6" t="s">
        <v>65</v>
      </c>
      <c r="H219" s="154" t="s">
        <v>178</v>
      </c>
      <c r="I219" s="4">
        <f>30*$K$1</f>
        <v>30.18</v>
      </c>
      <c r="J219" s="4">
        <f t="shared" si="43"/>
        <v>462.49005710425013</v>
      </c>
      <c r="K219" s="4">
        <f t="shared" si="38"/>
        <v>1513.9109571042502</v>
      </c>
      <c r="L219" s="4">
        <f t="shared" si="39"/>
        <v>1892.3886963803127</v>
      </c>
      <c r="N219" s="118" t="s">
        <v>3</v>
      </c>
      <c r="O219" s="119">
        <v>0.2</v>
      </c>
      <c r="P219" s="14">
        <f>J216+(J217-J216)*(O219-D216)/(D217-D216)</f>
        <v>374.95431007351414</v>
      </c>
      <c r="Q219" s="14">
        <f t="shared" si="44"/>
        <v>468.69288759189266</v>
      </c>
      <c r="R219" s="19">
        <f t="shared" si="40"/>
        <v>34</v>
      </c>
      <c r="S219" s="19" t="s">
        <v>185</v>
      </c>
      <c r="T219" s="163"/>
      <c r="U219" s="1"/>
      <c r="V219" s="6"/>
      <c r="W219" s="163"/>
      <c r="X219" s="163"/>
      <c r="Y219" s="1"/>
    </row>
    <row r="220" spans="1:25" x14ac:dyDescent="0.25">
      <c r="A220" s="241">
        <f t="shared" si="41"/>
        <v>2.219863354141921E-2</v>
      </c>
      <c r="B220" s="114">
        <v>6</v>
      </c>
      <c r="C220" s="117">
        <f t="shared" si="42"/>
        <v>9.1300000000000008</v>
      </c>
      <c r="D220" s="179">
        <v>0.28864136497262499</v>
      </c>
      <c r="E220" s="6" t="s">
        <v>49</v>
      </c>
      <c r="F220" s="4">
        <v>14.61</v>
      </c>
      <c r="G220" s="6" t="s">
        <v>33</v>
      </c>
      <c r="H220" s="154" t="s">
        <v>178</v>
      </c>
      <c r="I220" s="4">
        <f>21.17*$K$1</f>
        <v>21.297020000000003</v>
      </c>
      <c r="J220" s="4">
        <f t="shared" si="43"/>
        <v>483.7870771042501</v>
      </c>
      <c r="K220" s="4">
        <f t="shared" si="38"/>
        <v>1535.2079771042502</v>
      </c>
      <c r="L220" s="4">
        <f t="shared" si="39"/>
        <v>1919.0099713803127</v>
      </c>
      <c r="N220" s="118" t="s">
        <v>4</v>
      </c>
      <c r="O220" s="119">
        <v>0.25</v>
      </c>
      <c r="P220" s="177">
        <f>U220-Y220*(W220/X220)</f>
        <v>463.91417215593924</v>
      </c>
      <c r="Q220" s="14">
        <f t="shared" si="44"/>
        <v>579.89271519492399</v>
      </c>
      <c r="R220" s="19">
        <f t="shared" si="40"/>
        <v>20</v>
      </c>
      <c r="S220" s="19" t="s">
        <v>186</v>
      </c>
      <c r="T220" s="155">
        <f>D220</f>
        <v>0.28864136497262499</v>
      </c>
      <c r="U220" s="156">
        <f>J220</f>
        <v>483.7870771042501</v>
      </c>
      <c r="V220" s="6"/>
      <c r="W220" s="162">
        <f>T220-O220</f>
        <v>3.8641364972624992E-2</v>
      </c>
      <c r="X220" s="162">
        <f>D218-D217</f>
        <v>1.4827170790473548E-2</v>
      </c>
      <c r="Y220" s="156">
        <f>I218</f>
        <v>7.6254800000000005</v>
      </c>
    </row>
    <row r="221" spans="1:25" x14ac:dyDescent="0.25">
      <c r="A221" s="241">
        <f t="shared" si="41"/>
        <v>1.3300000000000034E-2</v>
      </c>
      <c r="B221" s="114">
        <v>7</v>
      </c>
      <c r="C221" s="117">
        <f t="shared" si="42"/>
        <v>8.9600000000000009</v>
      </c>
      <c r="D221" s="179">
        <v>0.30194136497262503</v>
      </c>
      <c r="E221" s="6" t="s">
        <v>48</v>
      </c>
      <c r="F221" s="4">
        <v>19.329999999999998</v>
      </c>
      <c r="G221" s="6" t="s">
        <v>32</v>
      </c>
      <c r="H221" s="154" t="s">
        <v>178</v>
      </c>
      <c r="I221" s="4">
        <f>15.41*$K$1</f>
        <v>15.502460000000001</v>
      </c>
      <c r="J221" s="4">
        <f t="shared" si="43"/>
        <v>499.28953710425009</v>
      </c>
      <c r="K221" s="4">
        <f t="shared" si="38"/>
        <v>1550.7104371042501</v>
      </c>
      <c r="L221" s="4">
        <f t="shared" si="39"/>
        <v>1938.3880463803125</v>
      </c>
      <c r="N221" s="118" t="s">
        <v>5</v>
      </c>
      <c r="O221" s="119">
        <v>0.3</v>
      </c>
      <c r="P221" s="177">
        <f>U221-Y221*(W221/X221)</f>
        <v>494.3676997802491</v>
      </c>
      <c r="Q221" s="14">
        <f t="shared" si="44"/>
        <v>617.95962472531141</v>
      </c>
      <c r="R221" s="19">
        <f t="shared" si="40"/>
        <v>20</v>
      </c>
      <c r="S221" s="19" t="s">
        <v>186</v>
      </c>
      <c r="T221" s="155">
        <f>D221</f>
        <v>0.30194136497262503</v>
      </c>
      <c r="U221" s="156">
        <f>J221</f>
        <v>499.28953710425009</v>
      </c>
      <c r="V221" s="6"/>
      <c r="W221" s="162">
        <f>T221-O221</f>
        <v>1.941364972625037E-3</v>
      </c>
      <c r="X221" s="162">
        <f>D217-D216</f>
        <v>0.16361556064073224</v>
      </c>
      <c r="Y221" s="156">
        <f>I217</f>
        <v>414.80565710425014</v>
      </c>
    </row>
    <row r="222" spans="1:25" x14ac:dyDescent="0.25">
      <c r="A222" s="241">
        <f t="shared" si="41"/>
        <v>2.542802270086858E-2</v>
      </c>
      <c r="B222" s="114">
        <v>8</v>
      </c>
      <c r="C222" s="117">
        <f t="shared" si="42"/>
        <v>8.64</v>
      </c>
      <c r="D222" s="179">
        <v>0.32736938767349361</v>
      </c>
      <c r="E222" s="6" t="s">
        <v>50</v>
      </c>
      <c r="F222" s="4" t="s">
        <v>126</v>
      </c>
      <c r="G222" s="6" t="s">
        <v>50</v>
      </c>
      <c r="H222" s="154" t="s">
        <v>178</v>
      </c>
      <c r="I222" s="4">
        <f>225.873015873016*$K$1</f>
        <v>227.22825396825408</v>
      </c>
      <c r="J222" s="4">
        <f t="shared" si="43"/>
        <v>726.51779107250422</v>
      </c>
      <c r="K222" s="4">
        <f t="shared" si="38"/>
        <v>1777.9386910725043</v>
      </c>
      <c r="L222" s="4">
        <f t="shared" si="39"/>
        <v>2222.4233638406304</v>
      </c>
      <c r="N222" s="118" t="s">
        <v>62</v>
      </c>
      <c r="O222" s="123">
        <f>D222</f>
        <v>0.32736938767349361</v>
      </c>
      <c r="P222" s="178">
        <f>J222</f>
        <v>726.51779107250422</v>
      </c>
      <c r="Q222" s="14">
        <f>P222*$L$212</f>
        <v>908.14723884063028</v>
      </c>
      <c r="R222" s="19">
        <f t="shared" si="40"/>
        <v>20</v>
      </c>
      <c r="S222" s="19" t="s">
        <v>132</v>
      </c>
      <c r="T222" s="121"/>
      <c r="U222" s="121"/>
      <c r="V222" s="13"/>
      <c r="W222" s="114"/>
      <c r="X222" s="114"/>
      <c r="Y222" s="114"/>
    </row>
    <row r="223" spans="1:25" x14ac:dyDescent="0.25">
      <c r="A223" s="240"/>
      <c r="B223" s="114">
        <v>9</v>
      </c>
      <c r="C223" s="174"/>
      <c r="D223" s="6"/>
      <c r="E223" s="6"/>
      <c r="F223" s="6"/>
      <c r="G223" s="6"/>
      <c r="H223" s="6"/>
      <c r="I223" s="6"/>
      <c r="J223" s="6"/>
      <c r="K223" s="6"/>
      <c r="L223" s="6"/>
    </row>
    <row r="224" spans="1:25" ht="19.5" thickBot="1" x14ac:dyDescent="0.35">
      <c r="A224" s="240"/>
      <c r="B224" s="114">
        <v>10</v>
      </c>
      <c r="C224" s="174"/>
      <c r="D224" s="6"/>
      <c r="E224" s="6"/>
      <c r="F224" s="6"/>
      <c r="G224" s="6"/>
      <c r="H224" s="6"/>
      <c r="I224" s="6"/>
      <c r="J224" s="6"/>
      <c r="K224" s="6"/>
      <c r="L224" s="6"/>
      <c r="N224" s="131" t="s">
        <v>188</v>
      </c>
      <c r="O224" s="129"/>
      <c r="P224" s="129"/>
      <c r="Q224" s="129"/>
      <c r="R224" s="129"/>
      <c r="S224" s="129"/>
      <c r="T224" s="129"/>
      <c r="U224" s="129"/>
      <c r="V224" s="129"/>
    </row>
    <row r="225" spans="1:25" ht="15.75" customHeight="1" thickBot="1" x14ac:dyDescent="0.3">
      <c r="A225" s="240"/>
      <c r="B225" s="7"/>
      <c r="C225" s="11"/>
      <c r="N225" s="313" t="s">
        <v>61</v>
      </c>
      <c r="O225" s="313" t="s">
        <v>15</v>
      </c>
      <c r="P225" s="313" t="s">
        <v>2</v>
      </c>
      <c r="Q225" s="313" t="s">
        <v>3</v>
      </c>
      <c r="R225" s="313" t="s">
        <v>4</v>
      </c>
      <c r="S225" s="313" t="s">
        <v>5</v>
      </c>
      <c r="T225" s="313" t="s">
        <v>62</v>
      </c>
      <c r="U225" s="313" t="s">
        <v>114</v>
      </c>
      <c r="V225" s="313"/>
    </row>
    <row r="226" spans="1:25" ht="15.75" thickBot="1" x14ac:dyDescent="0.3">
      <c r="A226" s="240"/>
      <c r="B226" s="7"/>
      <c r="C226" s="11"/>
      <c r="I226" s="23"/>
      <c r="N226" s="271"/>
      <c r="O226" s="271"/>
      <c r="P226" s="271"/>
      <c r="Q226" s="271"/>
      <c r="R226" s="271"/>
      <c r="S226" s="271"/>
      <c r="T226" s="271"/>
      <c r="U226" s="146" t="s">
        <v>115</v>
      </c>
      <c r="V226" s="146" t="s">
        <v>116</v>
      </c>
    </row>
    <row r="227" spans="1:25" ht="15.75" thickBot="1" x14ac:dyDescent="0.3">
      <c r="A227" s="240"/>
      <c r="B227" s="7"/>
      <c r="C227" s="11"/>
      <c r="I227" s="23"/>
      <c r="M227" s="23"/>
      <c r="N227" s="213">
        <f>P216</f>
        <v>0</v>
      </c>
      <c r="O227" s="213">
        <f>P217</f>
        <v>121.42973363357379</v>
      </c>
      <c r="P227" s="213">
        <f>P218</f>
        <v>248.19202185354391</v>
      </c>
      <c r="Q227" s="213">
        <f>P219</f>
        <v>374.95431007351414</v>
      </c>
      <c r="R227" s="213">
        <f>P220</f>
        <v>463.91417215593924</v>
      </c>
      <c r="S227" s="213">
        <f>P221</f>
        <v>494.3676997802491</v>
      </c>
      <c r="T227" s="221">
        <f>P222</f>
        <v>726.51779107250422</v>
      </c>
      <c r="U227" s="214">
        <f>MAX(O215:O222)</f>
        <v>0.32736938767349361</v>
      </c>
      <c r="V227" s="213">
        <f>MAX(N227:T227)</f>
        <v>726.51779107250422</v>
      </c>
    </row>
    <row r="228" spans="1:25" x14ac:dyDescent="0.25">
      <c r="A228" s="240"/>
      <c r="B228" s="7"/>
      <c r="C228" s="11"/>
      <c r="I228" s="23"/>
    </row>
    <row r="229" spans="1:25" s="196" customFormat="1" x14ac:dyDescent="0.25">
      <c r="A229" s="242"/>
      <c r="B229" s="210"/>
      <c r="C229" s="217"/>
      <c r="I229" s="199"/>
    </row>
    <row r="230" spans="1:25" s="196" customFormat="1" x14ac:dyDescent="0.25">
      <c r="A230" s="242"/>
      <c r="B230" s="210"/>
      <c r="C230" s="217"/>
      <c r="I230" s="199"/>
    </row>
    <row r="231" spans="1:25" x14ac:dyDescent="0.25">
      <c r="A231" s="240"/>
      <c r="C231" s="5"/>
    </row>
    <row r="232" spans="1:25" ht="19.5" thickBot="1" x14ac:dyDescent="0.35">
      <c r="A232" s="240"/>
      <c r="B232" s="131" t="s">
        <v>190</v>
      </c>
      <c r="C232" s="5"/>
      <c r="R232" s="130" t="s">
        <v>181</v>
      </c>
    </row>
    <row r="233" spans="1:25" ht="15.75" thickBot="1" x14ac:dyDescent="0.3">
      <c r="A233" s="240"/>
      <c r="C233" s="5"/>
      <c r="E233" s="97" t="s">
        <v>54</v>
      </c>
      <c r="F233" s="29">
        <v>9.8000000000000007</v>
      </c>
      <c r="H233" t="s">
        <v>175</v>
      </c>
      <c r="I233" s="99" t="s">
        <v>92</v>
      </c>
      <c r="L233" s="129" t="s">
        <v>180</v>
      </c>
      <c r="R233" s="101" t="s">
        <v>3</v>
      </c>
    </row>
    <row r="234" spans="1:25" ht="36" customHeight="1" thickBot="1" x14ac:dyDescent="0.35">
      <c r="A234" s="240"/>
      <c r="B234" s="304" t="s">
        <v>37</v>
      </c>
      <c r="C234" s="305"/>
      <c r="D234" s="303" t="s">
        <v>93</v>
      </c>
      <c r="E234" s="303"/>
      <c r="F234" s="303"/>
      <c r="G234" s="303"/>
      <c r="H234" s="303"/>
      <c r="I234" s="303"/>
      <c r="J234" s="303"/>
      <c r="K234" s="303"/>
      <c r="L234" s="100">
        <v>1.25</v>
      </c>
      <c r="N234" s="131" t="s">
        <v>189</v>
      </c>
      <c r="Q234" s="137" t="s">
        <v>182</v>
      </c>
      <c r="R234" s="137" t="s">
        <v>183</v>
      </c>
    </row>
    <row r="235" spans="1:25" ht="55.5" customHeight="1" thickBot="1" x14ac:dyDescent="0.3">
      <c r="A235" s="240"/>
      <c r="B235" s="299" t="s">
        <v>53</v>
      </c>
      <c r="C235" s="299" t="s">
        <v>21</v>
      </c>
      <c r="D235" s="299" t="s">
        <v>22</v>
      </c>
      <c r="E235" s="299" t="s">
        <v>19</v>
      </c>
      <c r="F235" s="307" t="s">
        <v>28</v>
      </c>
      <c r="G235" s="308"/>
      <c r="H235" s="309"/>
      <c r="I235" s="301" t="s">
        <v>26</v>
      </c>
      <c r="J235" s="302"/>
      <c r="K235" s="297" t="s">
        <v>52</v>
      </c>
      <c r="L235" s="297" t="s">
        <v>34</v>
      </c>
      <c r="N235" s="102" t="s">
        <v>14</v>
      </c>
      <c r="O235" s="103" t="s">
        <v>0</v>
      </c>
      <c r="P235" s="104" t="s">
        <v>55</v>
      </c>
      <c r="Q235" s="101" t="s">
        <v>97</v>
      </c>
      <c r="R235" s="101" t="s">
        <v>98</v>
      </c>
      <c r="S235" s="105" t="s">
        <v>1</v>
      </c>
    </row>
    <row r="236" spans="1:25" ht="25.5" x14ac:dyDescent="0.25">
      <c r="A236" s="240"/>
      <c r="B236" s="300"/>
      <c r="C236" s="300"/>
      <c r="D236" s="300"/>
      <c r="E236" s="300"/>
      <c r="F236" s="106" t="s">
        <v>27</v>
      </c>
      <c r="G236" s="106" t="s">
        <v>29</v>
      </c>
      <c r="H236" s="128" t="s">
        <v>176</v>
      </c>
      <c r="I236" s="106" t="s">
        <v>25</v>
      </c>
      <c r="J236" s="107" t="s">
        <v>24</v>
      </c>
      <c r="K236" s="298"/>
      <c r="L236" s="298"/>
      <c r="N236" s="108" t="s">
        <v>10</v>
      </c>
      <c r="O236" s="109">
        <v>0.27857142857142858</v>
      </c>
      <c r="P236" s="110">
        <v>200</v>
      </c>
      <c r="Q236" s="111">
        <v>30</v>
      </c>
      <c r="R236" s="160">
        <v>20</v>
      </c>
      <c r="S236" s="167" t="s">
        <v>12</v>
      </c>
    </row>
    <row r="237" spans="1:25" ht="30" x14ac:dyDescent="0.25">
      <c r="A237" s="240"/>
      <c r="B237" s="114">
        <v>1</v>
      </c>
      <c r="C237" s="206">
        <v>9.8000000000000007</v>
      </c>
      <c r="D237" s="215">
        <v>0</v>
      </c>
      <c r="E237" s="161" t="s">
        <v>20</v>
      </c>
      <c r="F237" s="127" t="s">
        <v>126</v>
      </c>
      <c r="G237" s="161" t="s">
        <v>20</v>
      </c>
      <c r="H237" s="134" t="s">
        <v>173</v>
      </c>
      <c r="I237" s="127">
        <v>0</v>
      </c>
      <c r="J237" s="127">
        <v>0</v>
      </c>
      <c r="K237" s="14">
        <f>1114.79*$K$1</f>
        <v>1121.47874</v>
      </c>
      <c r="L237" s="31">
        <f t="shared" ref="L237:L244" si="45">K237*$L$234</f>
        <v>1401.8484250000001</v>
      </c>
      <c r="N237" s="116" t="s">
        <v>56</v>
      </c>
      <c r="O237" s="116" t="s">
        <v>57</v>
      </c>
      <c r="P237" s="116" t="s">
        <v>58</v>
      </c>
      <c r="Q237" s="116" t="s">
        <v>96</v>
      </c>
      <c r="R237" s="116" t="s">
        <v>99</v>
      </c>
      <c r="S237" s="142" t="s">
        <v>184</v>
      </c>
      <c r="T237" s="314" t="s">
        <v>59</v>
      </c>
      <c r="U237" s="315"/>
      <c r="V237" s="315"/>
      <c r="W237" s="315"/>
      <c r="X237" s="315"/>
      <c r="Y237" s="316"/>
    </row>
    <row r="238" spans="1:25" ht="15.75" customHeight="1" x14ac:dyDescent="0.25">
      <c r="A238" s="240"/>
      <c r="B238" s="114">
        <v>2</v>
      </c>
      <c r="C238" s="117">
        <f>ROUND($C$237*(1-D238),2)</f>
        <v>9.26</v>
      </c>
      <c r="D238" s="179">
        <v>5.4999999999999993E-2</v>
      </c>
      <c r="E238" s="6" t="s">
        <v>140</v>
      </c>
      <c r="F238" s="4">
        <v>46.22</v>
      </c>
      <c r="G238" s="6" t="s">
        <v>31</v>
      </c>
      <c r="H238" s="154" t="s">
        <v>177</v>
      </c>
      <c r="I238" s="4">
        <f>33.9683575670024*$K$1</f>
        <v>34.172167712404416</v>
      </c>
      <c r="J238" s="4">
        <f>I238+J237</f>
        <v>34.172167712404416</v>
      </c>
      <c r="K238" s="4">
        <f t="shared" ref="K238:K244" si="46">$K$237+J238</f>
        <v>1155.6509077124044</v>
      </c>
      <c r="L238" s="4">
        <f t="shared" si="45"/>
        <v>1444.5636346405056</v>
      </c>
      <c r="N238" s="118" t="s">
        <v>61</v>
      </c>
      <c r="O238" s="119">
        <v>0</v>
      </c>
      <c r="P238" s="14">
        <f>J237</f>
        <v>0</v>
      </c>
      <c r="Q238" s="14">
        <f>L237</f>
        <v>1401.8484250000001</v>
      </c>
      <c r="R238" s="19">
        <v>30</v>
      </c>
      <c r="S238" s="19" t="s">
        <v>173</v>
      </c>
      <c r="T238" s="2"/>
      <c r="U238" s="2"/>
      <c r="V238" s="6"/>
      <c r="W238" s="6"/>
      <c r="X238" s="180"/>
      <c r="Y238" s="6"/>
    </row>
    <row r="239" spans="1:25" x14ac:dyDescent="0.25">
      <c r="A239" s="240"/>
      <c r="B239" s="114">
        <v>3</v>
      </c>
      <c r="C239" s="117">
        <f t="shared" ref="C239:C244" si="47">ROUND($C$237*(1-D239),2)</f>
        <v>8.1999999999999993</v>
      </c>
      <c r="D239" s="179">
        <v>0.16299595141700407</v>
      </c>
      <c r="E239" s="6" t="s">
        <v>139</v>
      </c>
      <c r="F239" s="4">
        <v>304.72000000000003</v>
      </c>
      <c r="G239" s="6" t="s">
        <v>30</v>
      </c>
      <c r="H239" s="154" t="s">
        <v>177</v>
      </c>
      <c r="I239" s="229">
        <f>(F12*1.05^((LOG(5.2/4.23)/LOG(1.02)))-F12)*$K$1</f>
        <v>217.14155648317904</v>
      </c>
      <c r="J239" s="4">
        <f>I239+J238</f>
        <v>251.31372419558346</v>
      </c>
      <c r="K239" s="4">
        <f t="shared" si="46"/>
        <v>1372.7924641955835</v>
      </c>
      <c r="L239" s="4">
        <f t="shared" si="45"/>
        <v>1715.9905802444794</v>
      </c>
      <c r="N239" s="118" t="s">
        <v>15</v>
      </c>
      <c r="O239" s="119">
        <v>0.1</v>
      </c>
      <c r="P239" s="14">
        <f>J238+(J239-J238)*(O239-D238)/(D239-D238)</f>
        <v>124.65120802395212</v>
      </c>
      <c r="Q239" s="14">
        <f>P239*$L$234</f>
        <v>155.81401002994016</v>
      </c>
      <c r="R239" s="19">
        <v>30</v>
      </c>
      <c r="S239" s="19" t="s">
        <v>185</v>
      </c>
      <c r="T239" s="2"/>
      <c r="U239" s="2"/>
      <c r="V239" s="6"/>
      <c r="W239" s="6"/>
      <c r="X239" s="6"/>
      <c r="Y239" s="6"/>
    </row>
    <row r="240" spans="1:25" x14ac:dyDescent="0.25">
      <c r="A240" s="240"/>
      <c r="B240" s="114">
        <v>4</v>
      </c>
      <c r="C240" s="117">
        <f t="shared" si="47"/>
        <v>7.62</v>
      </c>
      <c r="D240" s="179">
        <v>0.22199595141700407</v>
      </c>
      <c r="E240" s="6" t="s">
        <v>64</v>
      </c>
      <c r="F240" s="4" t="s">
        <v>126</v>
      </c>
      <c r="G240" s="6" t="s">
        <v>65</v>
      </c>
      <c r="H240" s="154" t="s">
        <v>178</v>
      </c>
      <c r="I240" s="4">
        <f>30*$K$1</f>
        <v>30.18</v>
      </c>
      <c r="J240" s="4">
        <f t="shared" ref="J240:J244" si="48">I240+J239</f>
        <v>281.49372419558347</v>
      </c>
      <c r="K240" s="4">
        <f t="shared" si="46"/>
        <v>1402.9724641955836</v>
      </c>
      <c r="L240" s="4">
        <f t="shared" si="45"/>
        <v>1753.7155802444795</v>
      </c>
      <c r="N240" s="118" t="s">
        <v>2</v>
      </c>
      <c r="O240" s="119">
        <v>0.15</v>
      </c>
      <c r="P240" s="14">
        <f>J238+(J239-J238)*(O240-D238)/(D239-D238)</f>
        <v>225.18347503678288</v>
      </c>
      <c r="Q240" s="14">
        <f t="shared" ref="Q240:Q243" si="49">P240*$L$234</f>
        <v>281.47934379597859</v>
      </c>
      <c r="R240" s="19">
        <v>30</v>
      </c>
      <c r="S240" s="19" t="s">
        <v>185</v>
      </c>
      <c r="T240" s="2"/>
      <c r="U240" s="2"/>
      <c r="V240" s="6"/>
      <c r="W240" s="6"/>
      <c r="X240" s="6"/>
      <c r="Y240" s="6"/>
    </row>
    <row r="241" spans="1:25" x14ac:dyDescent="0.25">
      <c r="A241" s="240"/>
      <c r="B241" s="114">
        <v>5</v>
      </c>
      <c r="C241" s="117">
        <f t="shared" si="47"/>
        <v>7.5</v>
      </c>
      <c r="D241" s="179">
        <v>0.23516467569683946</v>
      </c>
      <c r="E241" s="6" t="s">
        <v>47</v>
      </c>
      <c r="F241" s="4">
        <v>18.02</v>
      </c>
      <c r="G241" s="6" t="s">
        <v>32</v>
      </c>
      <c r="H241" s="154" t="s">
        <v>177</v>
      </c>
      <c r="I241" s="4">
        <f>12.08*$K$1</f>
        <v>12.152480000000001</v>
      </c>
      <c r="J241" s="4">
        <f t="shared" si="48"/>
        <v>293.64620419558349</v>
      </c>
      <c r="K241" s="4">
        <f t="shared" si="46"/>
        <v>1415.1249441955836</v>
      </c>
      <c r="L241" s="4">
        <f t="shared" si="45"/>
        <v>1768.9061802444794</v>
      </c>
      <c r="N241" s="118" t="s">
        <v>3</v>
      </c>
      <c r="O241" s="119">
        <v>0.2</v>
      </c>
      <c r="P241" s="177">
        <f>U241-Y241*(W241/X241)</f>
        <v>237.26766697447337</v>
      </c>
      <c r="Q241" s="14">
        <f t="shared" si="49"/>
        <v>296.58458371809172</v>
      </c>
      <c r="R241" s="19">
        <v>20</v>
      </c>
      <c r="S241" s="19" t="s">
        <v>186</v>
      </c>
      <c r="T241" s="155">
        <f>D240</f>
        <v>0.22199595141700407</v>
      </c>
      <c r="U241" s="156">
        <f>J240</f>
        <v>281.49372419558347</v>
      </c>
      <c r="V241" s="6"/>
      <c r="W241" s="162">
        <f>T241-O241</f>
        <v>2.1995951417004056E-2</v>
      </c>
      <c r="X241" s="162">
        <f>D239-D238</f>
        <v>0.10799595141700408</v>
      </c>
      <c r="Y241" s="156">
        <f>I239</f>
        <v>217.14155648317904</v>
      </c>
    </row>
    <row r="242" spans="1:25" x14ac:dyDescent="0.25">
      <c r="A242" s="240"/>
      <c r="B242" s="114">
        <v>6</v>
      </c>
      <c r="C242" s="117">
        <f t="shared" si="47"/>
        <v>7.35</v>
      </c>
      <c r="D242" s="179">
        <v>0.24982984591756524</v>
      </c>
      <c r="E242" s="6" t="s">
        <v>48</v>
      </c>
      <c r="F242" s="4">
        <v>30.11</v>
      </c>
      <c r="G242" s="6" t="s">
        <v>32</v>
      </c>
      <c r="H242" s="154" t="s">
        <v>178</v>
      </c>
      <c r="I242" s="4">
        <f>7.7*$K$1</f>
        <v>7.7462</v>
      </c>
      <c r="J242" s="4">
        <f t="shared" si="48"/>
        <v>301.39240419558348</v>
      </c>
      <c r="K242" s="4">
        <f t="shared" si="46"/>
        <v>1422.8711441955834</v>
      </c>
      <c r="L242" s="4">
        <f t="shared" si="45"/>
        <v>1778.5889302444793</v>
      </c>
      <c r="N242" s="118" t="s">
        <v>4</v>
      </c>
      <c r="O242" s="119">
        <v>0.25</v>
      </c>
      <c r="P242" s="177">
        <f>J242</f>
        <v>301.39240419558348</v>
      </c>
      <c r="Q242" s="14">
        <f>P242*$L$234</f>
        <v>376.74050524447932</v>
      </c>
      <c r="R242" s="19">
        <v>20</v>
      </c>
      <c r="S242" s="19" t="s">
        <v>185</v>
      </c>
      <c r="T242" s="155"/>
      <c r="U242" s="156"/>
      <c r="V242" s="6"/>
      <c r="W242" s="162"/>
      <c r="X242" s="162"/>
      <c r="Y242" s="156"/>
    </row>
    <row r="243" spans="1:25" x14ac:dyDescent="0.25">
      <c r="A243" s="240"/>
      <c r="B243" s="114">
        <v>7</v>
      </c>
      <c r="C243" s="117">
        <f t="shared" si="47"/>
        <v>7.23</v>
      </c>
      <c r="D243" s="179">
        <v>0.26258704756365575</v>
      </c>
      <c r="E243" s="6" t="s">
        <v>49</v>
      </c>
      <c r="F243" s="1">
        <v>11.76</v>
      </c>
      <c r="G243" s="6" t="s">
        <v>33</v>
      </c>
      <c r="H243" s="154" t="s">
        <v>178</v>
      </c>
      <c r="I243" s="4">
        <f>22.99*$K$1</f>
        <v>23.127939999999999</v>
      </c>
      <c r="J243" s="4">
        <f t="shared" si="48"/>
        <v>324.5203441955835</v>
      </c>
      <c r="K243" s="4">
        <f t="shared" si="46"/>
        <v>1445.9990841955835</v>
      </c>
      <c r="L243" s="4">
        <f t="shared" si="45"/>
        <v>1807.4988552444793</v>
      </c>
      <c r="N243" s="118" t="s">
        <v>5</v>
      </c>
      <c r="O243" s="119">
        <f>D244</f>
        <v>0.29134615270867315</v>
      </c>
      <c r="P243" s="14">
        <f>J244</f>
        <v>551.74859816383764</v>
      </c>
      <c r="Q243" s="14">
        <f t="shared" si="49"/>
        <v>689.685747704797</v>
      </c>
      <c r="R243" s="19">
        <v>20</v>
      </c>
      <c r="S243" s="19" t="s">
        <v>132</v>
      </c>
      <c r="T243" s="162"/>
      <c r="U243" s="156"/>
      <c r="V243" s="6"/>
      <c r="W243" s="157"/>
      <c r="X243" s="157"/>
      <c r="Y243" s="1"/>
    </row>
    <row r="244" spans="1:25" x14ac:dyDescent="0.25">
      <c r="A244" s="240"/>
      <c r="B244" s="114">
        <v>8</v>
      </c>
      <c r="C244" s="117">
        <f t="shared" si="47"/>
        <v>6.94</v>
      </c>
      <c r="D244" s="179">
        <v>0.29134615270867315</v>
      </c>
      <c r="E244" s="6" t="s">
        <v>50</v>
      </c>
      <c r="F244" s="1" t="s">
        <v>126</v>
      </c>
      <c r="G244" s="6" t="s">
        <v>50</v>
      </c>
      <c r="H244" s="154" t="s">
        <v>178</v>
      </c>
      <c r="I244" s="4">
        <f>225.873015873016*$K$1</f>
        <v>227.22825396825408</v>
      </c>
      <c r="J244" s="4">
        <f t="shared" si="48"/>
        <v>551.74859816383764</v>
      </c>
      <c r="K244" s="4">
        <f t="shared" si="46"/>
        <v>1673.2273381638377</v>
      </c>
      <c r="L244" s="4">
        <f t="shared" si="45"/>
        <v>2091.5341727047971</v>
      </c>
      <c r="N244" s="118" t="s">
        <v>62</v>
      </c>
      <c r="O244" s="123"/>
      <c r="P244" s="181"/>
      <c r="Q244" s="14"/>
      <c r="R244" s="19"/>
      <c r="S244" s="19"/>
      <c r="T244" s="2"/>
      <c r="U244" s="2"/>
      <c r="V244" s="6"/>
      <c r="W244" s="6"/>
      <c r="X244" s="6"/>
      <c r="Y244" s="6"/>
    </row>
    <row r="245" spans="1:25" x14ac:dyDescent="0.25">
      <c r="A245" s="240"/>
      <c r="B245" s="114">
        <v>9</v>
      </c>
      <c r="C245" s="174"/>
      <c r="D245" s="6"/>
      <c r="E245" s="6"/>
      <c r="F245" s="6"/>
      <c r="G245" s="6"/>
      <c r="H245" s="6"/>
      <c r="I245" s="6"/>
      <c r="J245" s="6"/>
      <c r="K245" s="6"/>
      <c r="L245" s="6"/>
    </row>
    <row r="246" spans="1:25" ht="19.5" thickBot="1" x14ac:dyDescent="0.35">
      <c r="A246" s="240"/>
      <c r="B246" s="114">
        <v>10</v>
      </c>
      <c r="C246" s="174"/>
      <c r="D246" s="6"/>
      <c r="E246" s="6"/>
      <c r="F246" s="6"/>
      <c r="G246" s="6"/>
      <c r="H246" s="6"/>
      <c r="I246" s="6"/>
      <c r="J246" s="6"/>
      <c r="K246" s="6"/>
      <c r="L246" s="6"/>
      <c r="N246" s="131" t="s">
        <v>188</v>
      </c>
      <c r="O246" s="129"/>
      <c r="P246" s="129"/>
      <c r="Q246" s="129"/>
      <c r="R246" s="129"/>
      <c r="S246" s="129"/>
      <c r="T246" s="129"/>
      <c r="U246" s="129"/>
      <c r="V246" s="129"/>
    </row>
    <row r="247" spans="1:25" ht="15.75" customHeight="1" thickBot="1" x14ac:dyDescent="0.3">
      <c r="A247" s="240"/>
      <c r="B247" s="7"/>
      <c r="C247" s="11"/>
      <c r="N247" s="313" t="s">
        <v>61</v>
      </c>
      <c r="O247" s="313" t="s">
        <v>15</v>
      </c>
      <c r="P247" s="313" t="s">
        <v>2</v>
      </c>
      <c r="Q247" s="313" t="s">
        <v>3</v>
      </c>
      <c r="R247" s="313" t="s">
        <v>4</v>
      </c>
      <c r="S247" s="313" t="s">
        <v>5</v>
      </c>
      <c r="T247" s="313" t="s">
        <v>62</v>
      </c>
      <c r="U247" s="313" t="s">
        <v>114</v>
      </c>
      <c r="V247" s="313"/>
    </row>
    <row r="248" spans="1:25" ht="15.75" thickBot="1" x14ac:dyDescent="0.3">
      <c r="A248" s="240"/>
      <c r="B248" s="7"/>
      <c r="C248" s="11"/>
      <c r="I248" s="23"/>
      <c r="N248" s="271"/>
      <c r="O248" s="271"/>
      <c r="P248" s="271"/>
      <c r="Q248" s="271"/>
      <c r="R248" s="271"/>
      <c r="S248" s="271"/>
      <c r="T248" s="271"/>
      <c r="U248" s="146" t="s">
        <v>115</v>
      </c>
      <c r="V248" s="146" t="s">
        <v>116</v>
      </c>
    </row>
    <row r="249" spans="1:25" ht="15.75" thickBot="1" x14ac:dyDescent="0.3">
      <c r="A249" s="240"/>
      <c r="B249" s="7"/>
      <c r="C249" s="11"/>
      <c r="M249" s="23"/>
      <c r="N249" s="213">
        <f>P238</f>
        <v>0</v>
      </c>
      <c r="O249" s="213">
        <f>P239</f>
        <v>124.65120802395212</v>
      </c>
      <c r="P249" s="213">
        <f>P240</f>
        <v>225.18347503678288</v>
      </c>
      <c r="Q249" s="213">
        <f>P241</f>
        <v>237.26766697447337</v>
      </c>
      <c r="R249" s="213">
        <f>P242</f>
        <v>301.39240419558348</v>
      </c>
      <c r="S249" s="221">
        <f>P243</f>
        <v>551.74859816383764</v>
      </c>
      <c r="T249" s="221">
        <f>P244</f>
        <v>0</v>
      </c>
      <c r="U249" s="214">
        <f>MAX(O237:O244)</f>
        <v>0.29134615270867315</v>
      </c>
      <c r="V249" s="213">
        <f>MAX(N249:T249)</f>
        <v>551.74859816383764</v>
      </c>
    </row>
    <row r="250" spans="1:25" x14ac:dyDescent="0.25">
      <c r="A250" s="240"/>
      <c r="B250" s="7"/>
      <c r="C250" s="11"/>
      <c r="M250" s="23"/>
      <c r="N250" s="27"/>
      <c r="O250" s="27"/>
      <c r="P250" s="27"/>
      <c r="Q250" s="28"/>
      <c r="R250" s="27"/>
      <c r="S250" s="27"/>
      <c r="T250" s="28"/>
      <c r="U250" s="26"/>
      <c r="V250" s="27"/>
    </row>
    <row r="251" spans="1:25" s="196" customFormat="1" x14ac:dyDescent="0.25">
      <c r="A251" s="242"/>
      <c r="B251" s="210"/>
      <c r="C251" s="217"/>
      <c r="M251" s="199"/>
      <c r="N251" s="218"/>
      <c r="O251" s="218"/>
      <c r="P251" s="218"/>
      <c r="Q251" s="219"/>
      <c r="R251" s="218"/>
      <c r="S251" s="218"/>
      <c r="T251" s="219"/>
      <c r="U251" s="220"/>
      <c r="V251" s="218"/>
    </row>
    <row r="252" spans="1:25" s="196" customFormat="1" x14ac:dyDescent="0.25">
      <c r="A252" s="242"/>
      <c r="B252" s="210"/>
      <c r="C252" s="217"/>
      <c r="M252" s="199"/>
      <c r="N252" s="218"/>
      <c r="O252" s="218"/>
      <c r="P252" s="218"/>
      <c r="Q252" s="219"/>
      <c r="R252" s="218"/>
      <c r="S252" s="218"/>
      <c r="T252" s="219"/>
      <c r="U252" s="220"/>
      <c r="V252" s="218"/>
    </row>
    <row r="253" spans="1:25" x14ac:dyDescent="0.25">
      <c r="A253" s="240"/>
      <c r="B253" s="7"/>
      <c r="C253" s="11"/>
    </row>
    <row r="254" spans="1:25" ht="19.5" thickBot="1" x14ac:dyDescent="0.35">
      <c r="A254" s="240"/>
      <c r="B254" s="131" t="s">
        <v>190</v>
      </c>
      <c r="C254" s="5"/>
      <c r="R254" s="130" t="s">
        <v>181</v>
      </c>
    </row>
    <row r="255" spans="1:25" ht="15.75" thickBot="1" x14ac:dyDescent="0.3">
      <c r="A255" s="240"/>
      <c r="C255" s="5"/>
      <c r="E255" s="97" t="s">
        <v>54</v>
      </c>
      <c r="F255" s="98">
        <v>7.6</v>
      </c>
      <c r="H255" t="s">
        <v>175</v>
      </c>
      <c r="I255" s="99" t="s">
        <v>94</v>
      </c>
      <c r="L255" s="129" t="s">
        <v>180</v>
      </c>
      <c r="R255" s="101" t="s">
        <v>15</v>
      </c>
    </row>
    <row r="256" spans="1:25" ht="33" customHeight="1" thickBot="1" x14ac:dyDescent="0.35">
      <c r="A256" s="240"/>
      <c r="B256" s="304" t="s">
        <v>35</v>
      </c>
      <c r="C256" s="305"/>
      <c r="D256" s="318" t="s">
        <v>95</v>
      </c>
      <c r="E256" s="303"/>
      <c r="F256" s="303"/>
      <c r="G256" s="303"/>
      <c r="H256" s="303"/>
      <c r="I256" s="303"/>
      <c r="J256" s="303"/>
      <c r="K256" s="303"/>
      <c r="L256" s="100">
        <v>1.25</v>
      </c>
      <c r="N256" s="131" t="s">
        <v>189</v>
      </c>
      <c r="Q256" s="137" t="s">
        <v>182</v>
      </c>
      <c r="R256" s="137" t="s">
        <v>183</v>
      </c>
    </row>
    <row r="257" spans="1:25" ht="52.5" customHeight="1" thickBot="1" x14ac:dyDescent="0.3">
      <c r="A257" s="240"/>
      <c r="B257" s="299" t="s">
        <v>53</v>
      </c>
      <c r="C257" s="299" t="s">
        <v>17</v>
      </c>
      <c r="D257" s="299" t="s">
        <v>18</v>
      </c>
      <c r="E257" s="299" t="s">
        <v>19</v>
      </c>
      <c r="F257" s="307" t="s">
        <v>28</v>
      </c>
      <c r="G257" s="308"/>
      <c r="H257" s="309"/>
      <c r="I257" s="301" t="s">
        <v>26</v>
      </c>
      <c r="J257" s="302"/>
      <c r="K257" s="297" t="s">
        <v>52</v>
      </c>
      <c r="L257" s="297" t="s">
        <v>34</v>
      </c>
      <c r="N257" s="102" t="s">
        <v>13</v>
      </c>
      <c r="O257" s="103" t="s">
        <v>0</v>
      </c>
      <c r="P257" s="104" t="s">
        <v>55</v>
      </c>
      <c r="Q257" s="101" t="s">
        <v>97</v>
      </c>
      <c r="R257" s="101" t="s">
        <v>98</v>
      </c>
      <c r="S257" s="105" t="s">
        <v>1</v>
      </c>
    </row>
    <row r="258" spans="1:25" ht="26.25" thickBot="1" x14ac:dyDescent="0.3">
      <c r="A258" s="240"/>
      <c r="B258" s="300"/>
      <c r="C258" s="300"/>
      <c r="D258" s="300"/>
      <c r="E258" s="300"/>
      <c r="F258" s="106" t="s">
        <v>27</v>
      </c>
      <c r="G258" s="106" t="s">
        <v>29</v>
      </c>
      <c r="H258" s="128" t="s">
        <v>176</v>
      </c>
      <c r="I258" s="106" t="s">
        <v>25</v>
      </c>
      <c r="J258" s="107" t="s">
        <v>24</v>
      </c>
      <c r="K258" s="298"/>
      <c r="L258" s="298"/>
      <c r="N258" s="108" t="s">
        <v>10</v>
      </c>
      <c r="O258" s="109">
        <v>0.27631578947368418</v>
      </c>
      <c r="P258" s="110">
        <v>300</v>
      </c>
      <c r="Q258" s="33">
        <v>30</v>
      </c>
      <c r="R258" s="182">
        <v>20</v>
      </c>
      <c r="S258" s="67">
        <v>131.9</v>
      </c>
    </row>
    <row r="259" spans="1:25" ht="30" x14ac:dyDescent="0.25">
      <c r="A259" s="240"/>
      <c r="B259" s="114">
        <v>1</v>
      </c>
      <c r="C259" s="206">
        <v>7.6</v>
      </c>
      <c r="D259" s="121">
        <v>0</v>
      </c>
      <c r="E259" s="161" t="s">
        <v>20</v>
      </c>
      <c r="F259" s="127" t="s">
        <v>126</v>
      </c>
      <c r="G259" s="161" t="s">
        <v>20</v>
      </c>
      <c r="H259" s="134" t="s">
        <v>173</v>
      </c>
      <c r="I259" s="127">
        <v>0</v>
      </c>
      <c r="J259" s="127">
        <v>0</v>
      </c>
      <c r="K259" s="208">
        <f>1217.01*$K$1</f>
        <v>1224.31206</v>
      </c>
      <c r="L259" s="31">
        <f>K259*$L$256</f>
        <v>1530.390075</v>
      </c>
      <c r="N259" s="116" t="s">
        <v>56</v>
      </c>
      <c r="O259" s="116" t="s">
        <v>57</v>
      </c>
      <c r="P259" s="116" t="s">
        <v>58</v>
      </c>
      <c r="Q259" s="116" t="s">
        <v>96</v>
      </c>
      <c r="R259" s="116" t="s">
        <v>99</v>
      </c>
      <c r="S259" s="142" t="s">
        <v>184</v>
      </c>
      <c r="T259" s="314" t="s">
        <v>59</v>
      </c>
      <c r="U259" s="315"/>
      <c r="V259" s="315"/>
      <c r="W259" s="315"/>
      <c r="X259" s="315"/>
      <c r="Y259" s="316"/>
    </row>
    <row r="260" spans="1:25" x14ac:dyDescent="0.25">
      <c r="A260" s="245">
        <f>D260-D259</f>
        <v>7.0999999999999994E-2</v>
      </c>
      <c r="B260" s="114">
        <v>2</v>
      </c>
      <c r="C260" s="117">
        <f>ROUND($C$259*(1-D260),2)</f>
        <v>7.06</v>
      </c>
      <c r="D260" s="162">
        <v>7.0999999999999994E-2</v>
      </c>
      <c r="E260" s="6" t="s">
        <v>64</v>
      </c>
      <c r="F260" s="4" t="s">
        <v>126</v>
      </c>
      <c r="G260" s="6" t="s">
        <v>65</v>
      </c>
      <c r="H260" s="154" t="s">
        <v>178</v>
      </c>
      <c r="I260" s="4">
        <f>30*$K$1</f>
        <v>30.18</v>
      </c>
      <c r="J260" s="4">
        <f>I260+J259</f>
        <v>30.18</v>
      </c>
      <c r="K260" s="4">
        <f>$K$259+J260</f>
        <v>1254.49206</v>
      </c>
      <c r="L260" s="4">
        <f t="shared" ref="L260:L264" si="50">K260*$L$256</f>
        <v>1568.1150750000002</v>
      </c>
      <c r="N260" s="118" t="s">
        <v>61</v>
      </c>
      <c r="O260" s="119">
        <v>0</v>
      </c>
      <c r="P260" s="14">
        <f>J259</f>
        <v>0</v>
      </c>
      <c r="Q260" s="14">
        <f>L259</f>
        <v>1530.390075</v>
      </c>
      <c r="R260" s="19">
        <v>30</v>
      </c>
      <c r="S260" s="19" t="s">
        <v>173</v>
      </c>
      <c r="T260" s="2"/>
      <c r="U260" s="2"/>
      <c r="V260" s="6"/>
      <c r="W260" s="6"/>
      <c r="X260" s="180"/>
      <c r="Y260" s="6"/>
    </row>
    <row r="261" spans="1:25" x14ac:dyDescent="0.25">
      <c r="A261" s="245">
        <f t="shared" ref="A261:A264" si="51">D261-D260</f>
        <v>3.7854251012145748E-2</v>
      </c>
      <c r="B261" s="114">
        <v>3</v>
      </c>
      <c r="C261" s="117">
        <f t="shared" ref="C261:C264" si="52">ROUND($C$259*(1-D261),2)</f>
        <v>6.77</v>
      </c>
      <c r="D261" s="162">
        <v>0.10885425101214574</v>
      </c>
      <c r="E261" s="6" t="s">
        <v>141</v>
      </c>
      <c r="F261" s="4">
        <v>321.38</v>
      </c>
      <c r="G261" s="6" t="s">
        <v>30</v>
      </c>
      <c r="H261" s="154" t="s">
        <v>177</v>
      </c>
      <c r="I261" s="229">
        <f>(F12*1.05^((LOG(5.2/4.86)/LOG(1.02)))-F12)*$K$1</f>
        <v>59.366478876447665</v>
      </c>
      <c r="J261" s="4">
        <f t="shared" ref="J261:J264" si="53">I261+J260</f>
        <v>89.546478876447665</v>
      </c>
      <c r="K261" s="4">
        <f>$K$259+J261</f>
        <v>1313.8585388764477</v>
      </c>
      <c r="L261" s="4">
        <f t="shared" si="50"/>
        <v>1642.3231735955596</v>
      </c>
      <c r="N261" s="118" t="s">
        <v>15</v>
      </c>
      <c r="O261" s="119">
        <v>0.1</v>
      </c>
      <c r="P261" s="14">
        <f>J260+(J261-J260)*(O261-D260)/(D261-D260)</f>
        <v>75.660437239785551</v>
      </c>
      <c r="Q261" s="14">
        <f>P261*$L$256</f>
        <v>94.575546549731939</v>
      </c>
      <c r="R261" s="19">
        <v>20</v>
      </c>
      <c r="S261" s="19" t="s">
        <v>185</v>
      </c>
      <c r="T261" s="2"/>
      <c r="U261" s="2"/>
      <c r="V261" s="6"/>
      <c r="W261" s="6"/>
      <c r="X261" s="6"/>
      <c r="Y261" s="6"/>
    </row>
    <row r="262" spans="1:25" x14ac:dyDescent="0.25">
      <c r="A262" s="245">
        <f t="shared" si="51"/>
        <v>0.16687999999999997</v>
      </c>
      <c r="B262" s="114">
        <v>4</v>
      </c>
      <c r="C262" s="117">
        <f t="shared" si="52"/>
        <v>5.5</v>
      </c>
      <c r="D262" s="162">
        <v>0.27573425101214571</v>
      </c>
      <c r="E262" s="6" t="s">
        <v>142</v>
      </c>
      <c r="F262" s="4">
        <v>65.510000000000005</v>
      </c>
      <c r="G262" s="6" t="s">
        <v>31</v>
      </c>
      <c r="H262" s="154" t="s">
        <v>177</v>
      </c>
      <c r="I262" s="4">
        <f>87.4228846153846*$K$1</f>
        <v>87.947421923076917</v>
      </c>
      <c r="J262" s="4">
        <f t="shared" si="53"/>
        <v>177.49390079952457</v>
      </c>
      <c r="K262" s="4">
        <f>$K$259+J262</f>
        <v>1401.8059607995247</v>
      </c>
      <c r="L262" s="4">
        <f t="shared" si="50"/>
        <v>1752.2574509994058</v>
      </c>
      <c r="N262" s="118" t="s">
        <v>2</v>
      </c>
      <c r="O262" s="119">
        <v>0.15</v>
      </c>
      <c r="P262" s="14">
        <f>J261+(J262-J261)*(O262-D261)/(D262-D261)</f>
        <v>111.23069835497014</v>
      </c>
      <c r="Q262" s="14">
        <f t="shared" ref="Q262:Q266" si="54">P262*$L$256</f>
        <v>139.03837294371269</v>
      </c>
      <c r="R262" s="19">
        <v>20</v>
      </c>
      <c r="S262" s="19" t="s">
        <v>185</v>
      </c>
      <c r="T262" s="2"/>
      <c r="U262" s="2"/>
      <c r="V262" s="6"/>
      <c r="W262" s="6"/>
      <c r="X262" s="6"/>
      <c r="Y262" s="6"/>
    </row>
    <row r="263" spans="1:25" x14ac:dyDescent="0.25">
      <c r="A263" s="245">
        <f t="shared" si="51"/>
        <v>2.1114289606320669E-2</v>
      </c>
      <c r="B263" s="114">
        <v>5</v>
      </c>
      <c r="C263" s="117">
        <f t="shared" si="52"/>
        <v>5.34</v>
      </c>
      <c r="D263" s="162">
        <v>0.29684854061846638</v>
      </c>
      <c r="E263" s="6" t="s">
        <v>49</v>
      </c>
      <c r="F263" s="4">
        <v>14.35</v>
      </c>
      <c r="G263" s="6" t="s">
        <v>33</v>
      </c>
      <c r="H263" s="154" t="s">
        <v>178</v>
      </c>
      <c r="I263" s="4">
        <f>21.31*$K$1</f>
        <v>21.437860000000001</v>
      </c>
      <c r="J263" s="4">
        <f t="shared" si="53"/>
        <v>198.93176079952457</v>
      </c>
      <c r="K263" s="4">
        <f>$K$259+J263</f>
        <v>1423.2438207995247</v>
      </c>
      <c r="L263" s="4">
        <f t="shared" si="50"/>
        <v>1779.0547759994058</v>
      </c>
      <c r="N263" s="118" t="s">
        <v>3</v>
      </c>
      <c r="O263" s="119">
        <v>0.2</v>
      </c>
      <c r="P263" s="14">
        <f>J261+(J262-J261)*(O263-D261)/(D262-D261)</f>
        <v>137.5811962945306</v>
      </c>
      <c r="Q263" s="14">
        <f t="shared" si="54"/>
        <v>171.97649536816326</v>
      </c>
      <c r="R263" s="19">
        <v>20</v>
      </c>
      <c r="S263" s="19" t="s">
        <v>185</v>
      </c>
      <c r="T263" s="2"/>
      <c r="U263" s="2"/>
      <c r="V263" s="6"/>
      <c r="W263" s="6"/>
      <c r="X263" s="6"/>
      <c r="Y263" s="6"/>
    </row>
    <row r="264" spans="1:25" x14ac:dyDescent="0.25">
      <c r="A264" s="245">
        <f t="shared" si="51"/>
        <v>2.7422906915879786E-2</v>
      </c>
      <c r="B264" s="114">
        <v>6</v>
      </c>
      <c r="C264" s="117">
        <f t="shared" si="52"/>
        <v>5.14</v>
      </c>
      <c r="D264" s="162">
        <v>0.32427144753434617</v>
      </c>
      <c r="E264" s="6" t="s">
        <v>50</v>
      </c>
      <c r="F264" s="1" t="s">
        <v>126</v>
      </c>
      <c r="G264" s="6" t="s">
        <v>50</v>
      </c>
      <c r="H264" s="154" t="s">
        <v>178</v>
      </c>
      <c r="I264" s="4">
        <f>225.873015873016*$K$1</f>
        <v>227.22825396825408</v>
      </c>
      <c r="J264" s="4">
        <f t="shared" si="53"/>
        <v>426.16001476777865</v>
      </c>
      <c r="K264" s="4">
        <f>$K$259+J264</f>
        <v>1650.4720747677786</v>
      </c>
      <c r="L264" s="4">
        <f t="shared" si="50"/>
        <v>2063.0900934597234</v>
      </c>
      <c r="N264" s="118" t="s">
        <v>4</v>
      </c>
      <c r="O264" s="119">
        <v>0.25</v>
      </c>
      <c r="P264" s="14">
        <f>J261+(J262-J261)*(O264-D261)/(D262-D261)</f>
        <v>163.93169423409103</v>
      </c>
      <c r="Q264" s="14">
        <f t="shared" si="54"/>
        <v>204.9146177926138</v>
      </c>
      <c r="R264" s="19">
        <v>20</v>
      </c>
      <c r="S264" s="19" t="s">
        <v>185</v>
      </c>
      <c r="T264" s="2"/>
      <c r="U264" s="2"/>
      <c r="V264" s="6"/>
      <c r="W264" s="6"/>
      <c r="X264" s="6"/>
      <c r="Y264" s="6"/>
    </row>
    <row r="265" spans="1:25" x14ac:dyDescent="0.25">
      <c r="A265" s="240"/>
      <c r="B265" s="114">
        <v>7</v>
      </c>
      <c r="C265" s="174"/>
      <c r="D265" s="6"/>
      <c r="E265" s="6"/>
      <c r="F265" s="6"/>
      <c r="G265" s="6"/>
      <c r="H265" s="6"/>
      <c r="I265" s="6"/>
      <c r="J265" s="6"/>
      <c r="K265" s="6"/>
      <c r="L265" s="6"/>
      <c r="N265" s="118" t="s">
        <v>5</v>
      </c>
      <c r="O265" s="119">
        <v>0.3</v>
      </c>
      <c r="P265" s="177">
        <f>U265-Y265*(W265/X265)</f>
        <v>413.36872020289991</v>
      </c>
      <c r="Q265" s="14">
        <f t="shared" si="54"/>
        <v>516.71090025362491</v>
      </c>
      <c r="R265" s="19">
        <v>20</v>
      </c>
      <c r="S265" s="19" t="s">
        <v>186</v>
      </c>
      <c r="T265" s="157">
        <f>D264</f>
        <v>0.32427144753434617</v>
      </c>
      <c r="U265" s="4">
        <f>J264</f>
        <v>426.16001476777865</v>
      </c>
      <c r="V265" s="6"/>
      <c r="W265" s="157">
        <f>T265-O265</f>
        <v>2.427144753434618E-2</v>
      </c>
      <c r="X265" s="157">
        <f>D262-D261</f>
        <v>0.16687999999999997</v>
      </c>
      <c r="Y265" s="156">
        <f>I262</f>
        <v>87.947421923076917</v>
      </c>
    </row>
    <row r="266" spans="1:25" x14ac:dyDescent="0.25">
      <c r="A266" s="240"/>
      <c r="B266" s="114">
        <v>8</v>
      </c>
      <c r="C266" s="124"/>
      <c r="D266" s="6"/>
      <c r="E266" s="6"/>
      <c r="F266" s="6"/>
      <c r="G266" s="6"/>
      <c r="H266" s="6"/>
      <c r="I266" s="6"/>
      <c r="J266" s="6"/>
      <c r="K266" s="6"/>
      <c r="L266" s="6"/>
      <c r="N266" s="118" t="s">
        <v>62</v>
      </c>
      <c r="O266" s="123">
        <f>D264</f>
        <v>0.32427144753434617</v>
      </c>
      <c r="P266" s="178">
        <f>J264</f>
        <v>426.16001476777865</v>
      </c>
      <c r="Q266" s="14">
        <f t="shared" si="54"/>
        <v>532.70001845972331</v>
      </c>
      <c r="R266" s="19">
        <v>20</v>
      </c>
      <c r="S266" s="19" t="s">
        <v>132</v>
      </c>
      <c r="T266" s="6"/>
      <c r="U266" s="6"/>
      <c r="V266" s="6"/>
      <c r="W266" s="6"/>
      <c r="X266" s="6"/>
      <c r="Y266" s="6"/>
    </row>
    <row r="267" spans="1:25" x14ac:dyDescent="0.25">
      <c r="A267" s="240"/>
      <c r="B267" s="114">
        <v>9</v>
      </c>
      <c r="C267" s="124"/>
      <c r="D267" s="6"/>
      <c r="E267" s="6"/>
      <c r="F267" s="6"/>
      <c r="G267" s="6"/>
      <c r="H267" s="6"/>
      <c r="I267" s="6"/>
      <c r="J267" s="6"/>
      <c r="K267" s="6"/>
      <c r="L267" s="6"/>
    </row>
    <row r="268" spans="1:25" ht="19.5" thickBot="1" x14ac:dyDescent="0.35">
      <c r="A268" s="240"/>
      <c r="B268" s="114">
        <v>10</v>
      </c>
      <c r="C268" s="124"/>
      <c r="D268" s="6"/>
      <c r="E268" s="6"/>
      <c r="F268" s="6"/>
      <c r="G268" s="6"/>
      <c r="H268" s="6"/>
      <c r="I268" s="6"/>
      <c r="J268" s="6"/>
      <c r="K268" s="6"/>
      <c r="L268" s="6"/>
      <c r="N268" s="131" t="s">
        <v>188</v>
      </c>
      <c r="O268" s="129"/>
      <c r="P268" s="129"/>
      <c r="Q268" s="129"/>
      <c r="R268" s="129"/>
      <c r="S268" s="129"/>
      <c r="T268" s="129"/>
      <c r="U268" s="129"/>
      <c r="V268" s="129"/>
    </row>
    <row r="269" spans="1:25" ht="15.75" customHeight="1" thickBot="1" x14ac:dyDescent="0.3">
      <c r="A269" s="240"/>
      <c r="C269" s="5"/>
      <c r="N269" s="313" t="s">
        <v>61</v>
      </c>
      <c r="O269" s="313" t="s">
        <v>15</v>
      </c>
      <c r="P269" s="313" t="s">
        <v>2</v>
      </c>
      <c r="Q269" s="313" t="s">
        <v>3</v>
      </c>
      <c r="R269" s="313" t="s">
        <v>4</v>
      </c>
      <c r="S269" s="313" t="s">
        <v>5</v>
      </c>
      <c r="T269" s="313" t="s">
        <v>62</v>
      </c>
      <c r="U269" s="313" t="s">
        <v>114</v>
      </c>
      <c r="V269" s="313"/>
    </row>
    <row r="270" spans="1:25" ht="15.75" thickBot="1" x14ac:dyDescent="0.3">
      <c r="A270" s="240"/>
      <c r="C270" s="5"/>
      <c r="N270" s="271"/>
      <c r="O270" s="271"/>
      <c r="P270" s="271"/>
      <c r="Q270" s="271"/>
      <c r="R270" s="271"/>
      <c r="S270" s="271"/>
      <c r="T270" s="271"/>
      <c r="U270" s="146" t="s">
        <v>115</v>
      </c>
      <c r="V270" s="146" t="s">
        <v>116</v>
      </c>
    </row>
    <row r="271" spans="1:25" ht="15.75" thickBot="1" x14ac:dyDescent="0.3">
      <c r="A271" s="240"/>
      <c r="N271" s="213">
        <f>P260</f>
        <v>0</v>
      </c>
      <c r="O271" s="213">
        <f>P261</f>
        <v>75.660437239785551</v>
      </c>
      <c r="P271" s="213">
        <f>P262</f>
        <v>111.23069835497014</v>
      </c>
      <c r="Q271" s="213">
        <f>P263</f>
        <v>137.5811962945306</v>
      </c>
      <c r="R271" s="213">
        <f>P264</f>
        <v>163.93169423409103</v>
      </c>
      <c r="S271" s="213">
        <f>P265</f>
        <v>413.36872020289991</v>
      </c>
      <c r="T271" s="221">
        <f>P266</f>
        <v>426.16001476777865</v>
      </c>
      <c r="U271" s="214">
        <f>MAX(O259:O266)</f>
        <v>0.32427144753434617</v>
      </c>
      <c r="V271" s="213">
        <f>MAX(N271:T271)</f>
        <v>426.16001476777865</v>
      </c>
    </row>
    <row r="272" spans="1:25" x14ac:dyDescent="0.25">
      <c r="A272" s="240"/>
    </row>
    <row r="273" spans="1:25" s="196" customFormat="1" x14ac:dyDescent="0.25">
      <c r="A273" s="242"/>
    </row>
    <row r="274" spans="1:25" s="196" customFormat="1" x14ac:dyDescent="0.25">
      <c r="A274" s="242"/>
    </row>
    <row r="275" spans="1:25" ht="15.75" thickBot="1" x14ac:dyDescent="0.3">
      <c r="A275" s="240"/>
      <c r="R275" s="130" t="s">
        <v>181</v>
      </c>
    </row>
    <row r="276" spans="1:25" ht="18.75" x14ac:dyDescent="0.3">
      <c r="A276" s="240"/>
      <c r="B276" s="131" t="s">
        <v>190</v>
      </c>
      <c r="R276" s="138" t="s">
        <v>173</v>
      </c>
    </row>
    <row r="277" spans="1:25" ht="19.5" thickBot="1" x14ac:dyDescent="0.35">
      <c r="A277" s="240"/>
      <c r="E277" s="97" t="s">
        <v>54</v>
      </c>
      <c r="F277" s="9">
        <f>11-0.00629*P279</f>
        <v>9.0501000000000005</v>
      </c>
      <c r="H277" t="s">
        <v>175</v>
      </c>
      <c r="I277" s="99" t="s">
        <v>104</v>
      </c>
      <c r="L277" s="129" t="s">
        <v>180</v>
      </c>
      <c r="N277" s="131" t="s">
        <v>189</v>
      </c>
      <c r="Q277" s="137" t="s">
        <v>182</v>
      </c>
      <c r="R277" s="137" t="s">
        <v>183</v>
      </c>
    </row>
    <row r="278" spans="1:25" ht="30.75" thickBot="1" x14ac:dyDescent="0.3">
      <c r="A278" s="240"/>
      <c r="B278" s="304" t="s">
        <v>38</v>
      </c>
      <c r="C278" s="305"/>
      <c r="D278" s="318" t="s">
        <v>100</v>
      </c>
      <c r="E278" s="303"/>
      <c r="F278" s="303"/>
      <c r="G278" s="303"/>
      <c r="H278" s="303"/>
      <c r="I278" s="303"/>
      <c r="J278" s="303"/>
      <c r="K278" s="303"/>
      <c r="L278" s="100">
        <v>1.25</v>
      </c>
      <c r="N278" s="95" t="s">
        <v>7</v>
      </c>
      <c r="O278" s="103" t="s">
        <v>0</v>
      </c>
      <c r="P278" s="104" t="s">
        <v>55</v>
      </c>
      <c r="Q278" s="101" t="s">
        <v>97</v>
      </c>
      <c r="R278" s="101" t="s">
        <v>98</v>
      </c>
      <c r="S278" s="105" t="s">
        <v>1</v>
      </c>
    </row>
    <row r="279" spans="1:25" ht="25.5" customHeight="1" thickBot="1" x14ac:dyDescent="0.3">
      <c r="A279" s="240"/>
      <c r="B279" s="299" t="s">
        <v>53</v>
      </c>
      <c r="C279" s="299" t="s">
        <v>17</v>
      </c>
      <c r="D279" s="299" t="s">
        <v>18</v>
      </c>
      <c r="E279" s="299" t="s">
        <v>19</v>
      </c>
      <c r="F279" s="307" t="s">
        <v>28</v>
      </c>
      <c r="G279" s="308"/>
      <c r="H279" s="309"/>
      <c r="I279" s="301" t="s">
        <v>26</v>
      </c>
      <c r="J279" s="302"/>
      <c r="K279" s="297" t="s">
        <v>52</v>
      </c>
      <c r="L279" s="297" t="s">
        <v>34</v>
      </c>
      <c r="N279" s="43" t="s">
        <v>8</v>
      </c>
      <c r="O279" s="183">
        <v>0.25387289352376602</v>
      </c>
      <c r="P279" s="65">
        <v>310</v>
      </c>
      <c r="Q279" s="184">
        <v>12</v>
      </c>
      <c r="R279" s="182">
        <f>Q279</f>
        <v>12</v>
      </c>
      <c r="S279" s="67" t="s">
        <v>12</v>
      </c>
    </row>
    <row r="280" spans="1:25" ht="30" x14ac:dyDescent="0.25">
      <c r="A280" s="240"/>
      <c r="B280" s="300"/>
      <c r="C280" s="300"/>
      <c r="D280" s="300"/>
      <c r="E280" s="300"/>
      <c r="F280" s="106" t="s">
        <v>27</v>
      </c>
      <c r="G280" s="106" t="s">
        <v>29</v>
      </c>
      <c r="H280" s="128" t="s">
        <v>176</v>
      </c>
      <c r="I280" s="106" t="s">
        <v>25</v>
      </c>
      <c r="J280" s="107" t="s">
        <v>24</v>
      </c>
      <c r="K280" s="298"/>
      <c r="L280" s="298"/>
      <c r="N280" s="116" t="s">
        <v>56</v>
      </c>
      <c r="O280" s="116" t="s">
        <v>57</v>
      </c>
      <c r="P280" s="116" t="s">
        <v>58</v>
      </c>
      <c r="Q280" s="116" t="s">
        <v>96</v>
      </c>
      <c r="R280" s="116" t="s">
        <v>99</v>
      </c>
      <c r="S280" s="142" t="s">
        <v>184</v>
      </c>
      <c r="T280" s="314" t="s">
        <v>59</v>
      </c>
      <c r="U280" s="315"/>
      <c r="V280" s="315"/>
      <c r="W280" s="315"/>
      <c r="X280" s="315"/>
      <c r="Y280" s="316"/>
    </row>
    <row r="281" spans="1:25" x14ac:dyDescent="0.25">
      <c r="A281" s="240"/>
      <c r="B281" s="114">
        <v>1</v>
      </c>
      <c r="C281" s="117">
        <f>F277</f>
        <v>9.0501000000000005</v>
      </c>
      <c r="D281" s="179">
        <v>0</v>
      </c>
      <c r="E281" s="6" t="s">
        <v>20</v>
      </c>
      <c r="F281" s="1" t="s">
        <v>126</v>
      </c>
      <c r="G281" s="6" t="s">
        <v>20</v>
      </c>
      <c r="H281" s="134" t="s">
        <v>173</v>
      </c>
      <c r="I281" s="1">
        <v>0</v>
      </c>
      <c r="J281" s="1">
        <v>0</v>
      </c>
      <c r="K281" s="14">
        <f>2689.41*$K$1</f>
        <v>2705.54646</v>
      </c>
      <c r="L281" s="4">
        <f>K281*$L$278</f>
        <v>3381.9330749999999</v>
      </c>
      <c r="N281" s="118" t="s">
        <v>61</v>
      </c>
      <c r="O281" s="119"/>
      <c r="P281" s="14">
        <f>J281</f>
        <v>0</v>
      </c>
      <c r="Q281" s="14">
        <f>L281</f>
        <v>3381.9330749999999</v>
      </c>
      <c r="R281" s="19">
        <f t="shared" ref="R281:R286" si="55">IF($Q$279=$R$279,$R$279,IF(RIGHT(N281)&gt;=RIGHT($R$276),$R$279,$Q$279))</f>
        <v>12</v>
      </c>
      <c r="S281" s="19" t="s">
        <v>173</v>
      </c>
      <c r="T281" s="2"/>
      <c r="U281" s="2"/>
      <c r="V281" s="6"/>
      <c r="W281" s="6"/>
      <c r="X281" s="180"/>
      <c r="Y281" s="6"/>
    </row>
    <row r="282" spans="1:25" x14ac:dyDescent="0.25">
      <c r="A282" s="246">
        <f>D282-D281</f>
        <v>8.9999999999999969E-2</v>
      </c>
      <c r="B282" s="114">
        <v>2</v>
      </c>
      <c r="C282" s="154">
        <f t="shared" ref="C282:C287" si="56">ROUND($C$281*(1-D282),2)</f>
        <v>8.24</v>
      </c>
      <c r="D282" s="179">
        <v>8.9999999999999969E-2</v>
      </c>
      <c r="E282" s="6" t="s">
        <v>146</v>
      </c>
      <c r="F282" s="4">
        <v>325</v>
      </c>
      <c r="G282" s="6" t="s">
        <v>30</v>
      </c>
      <c r="H282" s="154" t="s">
        <v>177</v>
      </c>
      <c r="I282" s="229">
        <f>(F12*1.05^((LOG(5.4/4.86)/LOG(1.02)))-F12)*$K$1</f>
        <v>97.062373018071725</v>
      </c>
      <c r="J282" s="4">
        <f>I282+J281</f>
        <v>97.062373018071725</v>
      </c>
      <c r="K282" s="1">
        <f t="shared" ref="K282:K287" si="57">$K$281+J282</f>
        <v>2802.6088330180719</v>
      </c>
      <c r="L282" s="4">
        <f t="shared" ref="L282:L287" si="58">K282*$L$278</f>
        <v>3503.2610412725899</v>
      </c>
      <c r="N282" s="118" t="s">
        <v>15</v>
      </c>
      <c r="O282" s="119">
        <v>0.1</v>
      </c>
      <c r="P282" s="14">
        <f>J282+(J283-J282)*(O282-D282)/(D283-D282)</f>
        <v>100.47839910502826</v>
      </c>
      <c r="Q282" s="14">
        <f>P282*$L$278</f>
        <v>125.59799888128532</v>
      </c>
      <c r="R282" s="19">
        <f t="shared" si="55"/>
        <v>12</v>
      </c>
      <c r="S282" s="19" t="s">
        <v>185</v>
      </c>
      <c r="T282" s="2"/>
      <c r="U282" s="2"/>
      <c r="V282" s="6"/>
      <c r="W282" s="6"/>
      <c r="X282" s="6"/>
      <c r="Y282" s="6"/>
    </row>
    <row r="283" spans="1:25" x14ac:dyDescent="0.25">
      <c r="A283" s="246">
        <f t="shared" ref="A283:A287" si="59">D283-D282</f>
        <v>2.300000000000002E-2</v>
      </c>
      <c r="B283" s="114">
        <v>3</v>
      </c>
      <c r="C283" s="154">
        <f t="shared" si="56"/>
        <v>8.0299999999999994</v>
      </c>
      <c r="D283" s="179">
        <v>0.11299999999999999</v>
      </c>
      <c r="E283" s="6" t="s">
        <v>147</v>
      </c>
      <c r="F283" s="4">
        <v>48.45</v>
      </c>
      <c r="G283" s="6" t="s">
        <v>31</v>
      </c>
      <c r="H283" s="154" t="s">
        <v>177</v>
      </c>
      <c r="I283" s="4">
        <f>7.81*$K$1</f>
        <v>7.8568599999999993</v>
      </c>
      <c r="J283" s="4">
        <f>I283+J282</f>
        <v>104.91923301807172</v>
      </c>
      <c r="K283" s="1">
        <f t="shared" si="57"/>
        <v>2810.4656930180718</v>
      </c>
      <c r="L283" s="4">
        <f t="shared" si="58"/>
        <v>3513.0821162725897</v>
      </c>
      <c r="N283" s="118" t="s">
        <v>2</v>
      </c>
      <c r="O283" s="119">
        <v>0.15</v>
      </c>
      <c r="P283" s="177">
        <f>U283-Y283*(W283/X283)-Y284</f>
        <v>110.61777835917468</v>
      </c>
      <c r="Q283" s="14">
        <f t="shared" ref="Q283:Q286" si="60">P283*$L$278</f>
        <v>138.27222294896836</v>
      </c>
      <c r="R283" s="19">
        <f t="shared" si="55"/>
        <v>12</v>
      </c>
      <c r="S283" s="19" t="s">
        <v>186</v>
      </c>
      <c r="T283" s="157">
        <f>D285</f>
        <v>0.18177341747189907</v>
      </c>
      <c r="U283" s="4">
        <f>J285</f>
        <v>127.93651301807172</v>
      </c>
      <c r="V283" s="6"/>
      <c r="W283" s="157">
        <f>W284-X284</f>
        <v>8.7734174718990532E-3</v>
      </c>
      <c r="X283" s="157">
        <f>D282-D281</f>
        <v>8.9999999999999969E-2</v>
      </c>
      <c r="Y283" s="156">
        <f>I282</f>
        <v>97.062373018071725</v>
      </c>
    </row>
    <row r="284" spans="1:25" x14ac:dyDescent="0.25">
      <c r="A284" s="246">
        <f t="shared" si="59"/>
        <v>3.2537960954446887E-2</v>
      </c>
      <c r="B284" s="114">
        <v>4</v>
      </c>
      <c r="C284" s="154">
        <f t="shared" si="56"/>
        <v>7.73</v>
      </c>
      <c r="D284" s="179">
        <v>0.14553796095444688</v>
      </c>
      <c r="E284" s="6" t="s">
        <v>148</v>
      </c>
      <c r="F284" s="4">
        <v>25.3</v>
      </c>
      <c r="G284" s="6" t="s">
        <v>32</v>
      </c>
      <c r="H284" s="154" t="s">
        <v>177</v>
      </c>
      <c r="I284" s="4">
        <f>17.31*$K$1</f>
        <v>17.41386</v>
      </c>
      <c r="J284" s="4">
        <f t="shared" ref="J284:J287" si="61">I284+J283</f>
        <v>122.33309301807172</v>
      </c>
      <c r="K284" s="1">
        <f t="shared" si="57"/>
        <v>2827.8795530180719</v>
      </c>
      <c r="L284" s="4">
        <f t="shared" si="58"/>
        <v>3534.84944127259</v>
      </c>
      <c r="N284" s="118" t="s">
        <v>3</v>
      </c>
      <c r="O284" s="119">
        <v>0.2</v>
      </c>
      <c r="P284" s="14">
        <f>J285+(J286-J285)*(O284-D285)/(D286-D285)</f>
        <v>202.53455039804518</v>
      </c>
      <c r="Q284" s="14">
        <f t="shared" si="60"/>
        <v>253.16818799755649</v>
      </c>
      <c r="R284" s="19">
        <f t="shared" si="55"/>
        <v>12</v>
      </c>
      <c r="S284" s="19" t="s">
        <v>186</v>
      </c>
      <c r="T284" s="157"/>
      <c r="U284" s="4"/>
      <c r="V284" s="6"/>
      <c r="W284" s="157">
        <f>T283-O283</f>
        <v>3.1773417471899074E-2</v>
      </c>
      <c r="X284" s="157">
        <f>D283-D282</f>
        <v>2.300000000000002E-2</v>
      </c>
      <c r="Y284" s="156">
        <f>I283</f>
        <v>7.8568599999999993</v>
      </c>
    </row>
    <row r="285" spans="1:25" x14ac:dyDescent="0.25">
      <c r="A285" s="246">
        <f t="shared" si="59"/>
        <v>3.6235456517452191E-2</v>
      </c>
      <c r="B285" s="114">
        <v>5</v>
      </c>
      <c r="C285" s="154">
        <f t="shared" si="56"/>
        <v>7.41</v>
      </c>
      <c r="D285" s="179">
        <v>0.18177341747189907</v>
      </c>
      <c r="E285" s="6" t="s">
        <v>149</v>
      </c>
      <c r="F285" s="4">
        <v>42.62</v>
      </c>
      <c r="G285" s="6" t="s">
        <v>32</v>
      </c>
      <c r="H285" s="154" t="s">
        <v>178</v>
      </c>
      <c r="I285" s="4">
        <f>5.57*$K$1</f>
        <v>5.6034200000000007</v>
      </c>
      <c r="J285" s="4">
        <f t="shared" si="61"/>
        <v>127.93651301807172</v>
      </c>
      <c r="K285" s="1">
        <f t="shared" si="57"/>
        <v>2833.4829730180718</v>
      </c>
      <c r="L285" s="4">
        <f t="shared" si="58"/>
        <v>3541.8537162725897</v>
      </c>
      <c r="N285" s="118" t="s">
        <v>4</v>
      </c>
      <c r="O285" s="119">
        <v>0.25</v>
      </c>
      <c r="P285" s="177">
        <f>U285-Y285*(W285/X285)</f>
        <v>505.32524424419887</v>
      </c>
      <c r="Q285" s="14">
        <f t="shared" si="60"/>
        <v>631.65655530524862</v>
      </c>
      <c r="R285" s="19">
        <f t="shared" si="55"/>
        <v>12</v>
      </c>
      <c r="S285" s="19" t="s">
        <v>186</v>
      </c>
      <c r="T285" s="157">
        <f>D287</f>
        <v>0.28677341747189911</v>
      </c>
      <c r="U285" s="4">
        <f>J287</f>
        <v>655.83205301807163</v>
      </c>
      <c r="V285" s="6"/>
      <c r="W285" s="157">
        <f>T285-O285</f>
        <v>3.6773417471899106E-2</v>
      </c>
      <c r="X285" s="157">
        <f>D286-D285</f>
        <v>5.2000000000000018E-2</v>
      </c>
      <c r="Y285" s="156">
        <f>I286</f>
        <v>212.82639999999992</v>
      </c>
    </row>
    <row r="286" spans="1:25" x14ac:dyDescent="0.25">
      <c r="A286" s="246">
        <f t="shared" si="59"/>
        <v>5.2000000000000018E-2</v>
      </c>
      <c r="B286" s="114">
        <v>6</v>
      </c>
      <c r="C286" s="154">
        <f t="shared" si="56"/>
        <v>6.93</v>
      </c>
      <c r="D286" s="179">
        <v>0.23377341747189909</v>
      </c>
      <c r="E286" s="232" t="s">
        <v>222</v>
      </c>
      <c r="F286" s="1">
        <v>1251.92</v>
      </c>
      <c r="G286" s="6" t="s">
        <v>51</v>
      </c>
      <c r="H286" s="154" t="s">
        <v>177</v>
      </c>
      <c r="I286" s="229">
        <f>F286*1.17-F286</f>
        <v>212.82639999999992</v>
      </c>
      <c r="J286" s="4">
        <f t="shared" si="61"/>
        <v>340.76291301807163</v>
      </c>
      <c r="K286" s="1">
        <f t="shared" si="57"/>
        <v>3046.3093730180717</v>
      </c>
      <c r="L286" s="4">
        <f t="shared" si="58"/>
        <v>3807.8867162725896</v>
      </c>
      <c r="N286" s="118" t="s">
        <v>5</v>
      </c>
      <c r="O286" s="119">
        <f>D287</f>
        <v>0.28677341747189911</v>
      </c>
      <c r="P286" s="14">
        <f>J287</f>
        <v>655.83205301807163</v>
      </c>
      <c r="Q286" s="14">
        <f t="shared" si="60"/>
        <v>819.79006627258957</v>
      </c>
      <c r="R286" s="19">
        <f t="shared" si="55"/>
        <v>12</v>
      </c>
      <c r="S286" s="19" t="s">
        <v>132</v>
      </c>
      <c r="T286" s="157"/>
      <c r="U286" s="4"/>
      <c r="V286" s="6"/>
      <c r="W286" s="157"/>
      <c r="X286" s="157"/>
      <c r="Y286" s="1"/>
    </row>
    <row r="287" spans="1:25" ht="15.75" customHeight="1" x14ac:dyDescent="0.25">
      <c r="A287" s="246">
        <f t="shared" si="59"/>
        <v>5.3000000000000019E-2</v>
      </c>
      <c r="B287" s="114">
        <v>7</v>
      </c>
      <c r="C287" s="154">
        <f t="shared" si="56"/>
        <v>6.45</v>
      </c>
      <c r="D287" s="179">
        <v>0.28677341747189911</v>
      </c>
      <c r="E287" s="6" t="s">
        <v>150</v>
      </c>
      <c r="F287" s="4">
        <v>313.19</v>
      </c>
      <c r="G287" s="6" t="s">
        <v>151</v>
      </c>
      <c r="H287" s="154" t="s">
        <v>178</v>
      </c>
      <c r="I287" s="4">
        <f>313.19*$K$1</f>
        <v>315.06914</v>
      </c>
      <c r="J287" s="4">
        <f t="shared" si="61"/>
        <v>655.83205301807163</v>
      </c>
      <c r="K287" s="1">
        <f t="shared" si="57"/>
        <v>3361.3785130180718</v>
      </c>
      <c r="L287" s="4">
        <f t="shared" si="58"/>
        <v>4201.7231412725896</v>
      </c>
      <c r="N287" s="118" t="s">
        <v>62</v>
      </c>
      <c r="O287" s="123"/>
      <c r="P287" s="13"/>
      <c r="Q287" s="14"/>
      <c r="R287" s="19"/>
      <c r="S287" s="19"/>
      <c r="T287" s="6"/>
      <c r="U287" s="6"/>
      <c r="V287" s="6"/>
      <c r="W287" s="6"/>
      <c r="X287" s="6"/>
      <c r="Y287" s="6"/>
    </row>
    <row r="288" spans="1:25" x14ac:dyDescent="0.25">
      <c r="A288" s="240"/>
      <c r="B288" s="114">
        <v>8</v>
      </c>
      <c r="C288" s="185"/>
      <c r="D288" s="186"/>
      <c r="E288" s="115"/>
      <c r="F288" s="187"/>
      <c r="G288" s="115"/>
      <c r="H288" s="115"/>
      <c r="I288" s="1"/>
      <c r="J288" s="4"/>
      <c r="K288" s="4"/>
      <c r="L288" s="2"/>
    </row>
    <row r="289" spans="1:27" ht="19.5" thickBot="1" x14ac:dyDescent="0.35">
      <c r="A289" s="240"/>
      <c r="B289" s="114">
        <v>9</v>
      </c>
      <c r="C289" s="185"/>
      <c r="D289" s="186"/>
      <c r="E289" s="115"/>
      <c r="F289" s="187"/>
      <c r="G289" s="115"/>
      <c r="H289" s="115"/>
      <c r="I289" s="1"/>
      <c r="J289" s="4"/>
      <c r="K289" s="4"/>
      <c r="L289" s="2"/>
      <c r="N289" s="131" t="s">
        <v>188</v>
      </c>
      <c r="O289" s="129"/>
      <c r="P289" s="129"/>
      <c r="Q289" s="129"/>
      <c r="R289" s="129"/>
      <c r="S289" s="129"/>
      <c r="T289" s="129"/>
      <c r="U289" s="129"/>
      <c r="V289" s="129"/>
    </row>
    <row r="290" spans="1:27" ht="15.75" customHeight="1" thickBot="1" x14ac:dyDescent="0.3">
      <c r="A290" s="240"/>
      <c r="B290" s="114">
        <v>10</v>
      </c>
      <c r="C290" s="174"/>
      <c r="D290" s="6"/>
      <c r="E290" s="6"/>
      <c r="F290" s="6"/>
      <c r="G290" s="6"/>
      <c r="H290" s="6"/>
      <c r="I290" s="6"/>
      <c r="J290" s="6"/>
      <c r="K290" s="6"/>
      <c r="L290" s="6"/>
      <c r="N290" s="313" t="s">
        <v>61</v>
      </c>
      <c r="O290" s="313" t="s">
        <v>15</v>
      </c>
      <c r="P290" s="313" t="s">
        <v>2</v>
      </c>
      <c r="Q290" s="313" t="s">
        <v>3</v>
      </c>
      <c r="R290" s="313" t="s">
        <v>4</v>
      </c>
      <c r="S290" s="313" t="s">
        <v>5</v>
      </c>
      <c r="T290" s="313" t="s">
        <v>62</v>
      </c>
      <c r="U290" s="313" t="s">
        <v>114</v>
      </c>
      <c r="V290" s="313"/>
    </row>
    <row r="291" spans="1:27" ht="15.75" thickBot="1" x14ac:dyDescent="0.3">
      <c r="A291" s="240"/>
      <c r="C291" s="5"/>
      <c r="F291" s="3">
        <f>F286*1.17</f>
        <v>1464.7464</v>
      </c>
      <c r="G291" s="234">
        <f>F291-F286</f>
        <v>212.82639999999992</v>
      </c>
      <c r="N291" s="271"/>
      <c r="O291" s="271"/>
      <c r="P291" s="271"/>
      <c r="Q291" s="271"/>
      <c r="R291" s="271"/>
      <c r="S291" s="271"/>
      <c r="T291" s="271"/>
      <c r="U291" s="146" t="s">
        <v>115</v>
      </c>
      <c r="V291" s="146" t="s">
        <v>116</v>
      </c>
    </row>
    <row r="292" spans="1:27" ht="15.75" thickBot="1" x14ac:dyDescent="0.3">
      <c r="A292" s="240"/>
      <c r="C292" s="5"/>
      <c r="N292" s="213">
        <f>P281</f>
        <v>0</v>
      </c>
      <c r="O292" s="213">
        <f>P282</f>
        <v>100.47839910502826</v>
      </c>
      <c r="P292" s="213">
        <f>P283</f>
        <v>110.61777835917468</v>
      </c>
      <c r="Q292" s="213">
        <f>P284</f>
        <v>202.53455039804518</v>
      </c>
      <c r="R292" s="213">
        <f>P285</f>
        <v>505.32524424419887</v>
      </c>
      <c r="S292" s="221">
        <f>P286</f>
        <v>655.83205301807163</v>
      </c>
      <c r="T292" s="221">
        <f>P287</f>
        <v>0</v>
      </c>
      <c r="U292" s="214">
        <f>MAX(O280:O287)</f>
        <v>0.28677341747189911</v>
      </c>
      <c r="V292" s="213">
        <f>MAX(N292:T292)</f>
        <v>655.83205301807163</v>
      </c>
    </row>
    <row r="293" spans="1:27" x14ac:dyDescent="0.25">
      <c r="A293" s="240"/>
      <c r="C293" s="5"/>
    </row>
    <row r="294" spans="1:27" s="196" customFormat="1" x14ac:dyDescent="0.25">
      <c r="A294" s="242"/>
      <c r="C294" s="204"/>
    </row>
    <row r="295" spans="1:27" s="196" customFormat="1" x14ac:dyDescent="0.25">
      <c r="A295" s="242"/>
      <c r="C295" s="204"/>
    </row>
    <row r="296" spans="1:27" ht="15.75" thickBot="1" x14ac:dyDescent="0.3">
      <c r="A296" s="240"/>
      <c r="C296" s="5"/>
      <c r="R296" s="130" t="s">
        <v>181</v>
      </c>
    </row>
    <row r="297" spans="1:27" ht="18.75" x14ac:dyDescent="0.3">
      <c r="A297" s="240"/>
      <c r="B297" s="131" t="s">
        <v>190</v>
      </c>
      <c r="C297" s="20"/>
      <c r="R297" s="101" t="s">
        <v>173</v>
      </c>
    </row>
    <row r="298" spans="1:27" ht="19.5" thickBot="1" x14ac:dyDescent="0.35">
      <c r="A298" s="240"/>
      <c r="C298" s="20"/>
      <c r="E298" s="97" t="s">
        <v>54</v>
      </c>
      <c r="F298" s="9">
        <v>6.6</v>
      </c>
      <c r="H298" t="s">
        <v>175</v>
      </c>
      <c r="I298" s="99" t="s">
        <v>105</v>
      </c>
      <c r="L298" s="129" t="s">
        <v>180</v>
      </c>
      <c r="N298" s="131" t="s">
        <v>189</v>
      </c>
      <c r="Q298" s="137" t="s">
        <v>182</v>
      </c>
      <c r="R298" s="137" t="s">
        <v>183</v>
      </c>
    </row>
    <row r="299" spans="1:27" ht="57.75" customHeight="1" thickBot="1" x14ac:dyDescent="0.3">
      <c r="A299" s="240"/>
      <c r="B299" s="304" t="s">
        <v>39</v>
      </c>
      <c r="C299" s="305"/>
      <c r="D299" s="318" t="s">
        <v>101</v>
      </c>
      <c r="E299" s="303"/>
      <c r="F299" s="303"/>
      <c r="G299" s="303"/>
      <c r="H299" s="303"/>
      <c r="I299" s="303"/>
      <c r="J299" s="303"/>
      <c r="K299" s="303"/>
      <c r="L299" s="100">
        <v>1.25</v>
      </c>
      <c r="N299" s="94" t="s">
        <v>7</v>
      </c>
      <c r="O299" s="103" t="s">
        <v>0</v>
      </c>
      <c r="P299" s="104" t="s">
        <v>55</v>
      </c>
      <c r="Q299" s="101" t="s">
        <v>97</v>
      </c>
      <c r="R299" s="101" t="s">
        <v>98</v>
      </c>
      <c r="S299" s="105" t="s">
        <v>1</v>
      </c>
      <c r="Y299" s="188"/>
      <c r="Z299" s="188"/>
      <c r="AA299" s="188"/>
    </row>
    <row r="300" spans="1:27" ht="33" customHeight="1" thickBot="1" x14ac:dyDescent="0.3">
      <c r="A300" s="240"/>
      <c r="B300" s="299" t="s">
        <v>53</v>
      </c>
      <c r="C300" s="299" t="s">
        <v>17</v>
      </c>
      <c r="D300" s="299" t="s">
        <v>23</v>
      </c>
      <c r="E300" s="299" t="s">
        <v>19</v>
      </c>
      <c r="F300" s="307" t="s">
        <v>28</v>
      </c>
      <c r="G300" s="308"/>
      <c r="H300" s="309"/>
      <c r="I300" s="301" t="s">
        <v>26</v>
      </c>
      <c r="J300" s="302"/>
      <c r="K300" s="297" t="s">
        <v>52</v>
      </c>
      <c r="L300" s="297" t="s">
        <v>34</v>
      </c>
      <c r="N300" s="43" t="s">
        <v>10</v>
      </c>
      <c r="O300" s="183">
        <v>0.17007480709834627</v>
      </c>
      <c r="P300" s="65">
        <v>820</v>
      </c>
      <c r="Q300" s="189">
        <v>13.6</v>
      </c>
      <c r="R300" s="190">
        <f>Q300</f>
        <v>13.6</v>
      </c>
      <c r="S300" s="191" t="s">
        <v>12</v>
      </c>
    </row>
    <row r="301" spans="1:27" ht="30" x14ac:dyDescent="0.25">
      <c r="A301" s="240"/>
      <c r="B301" s="300"/>
      <c r="C301" s="300"/>
      <c r="D301" s="300"/>
      <c r="E301" s="300"/>
      <c r="F301" s="106" t="s">
        <v>27</v>
      </c>
      <c r="G301" s="106" t="s">
        <v>29</v>
      </c>
      <c r="H301" s="128" t="s">
        <v>176</v>
      </c>
      <c r="I301" s="106" t="s">
        <v>25</v>
      </c>
      <c r="J301" s="107" t="s">
        <v>24</v>
      </c>
      <c r="K301" s="298"/>
      <c r="L301" s="298"/>
      <c r="N301" s="116" t="s">
        <v>56</v>
      </c>
      <c r="O301" s="116" t="s">
        <v>57</v>
      </c>
      <c r="P301" s="116" t="s">
        <v>58</v>
      </c>
      <c r="Q301" s="116" t="s">
        <v>96</v>
      </c>
      <c r="R301" s="116" t="s">
        <v>99</v>
      </c>
      <c r="S301" s="142" t="s">
        <v>184</v>
      </c>
      <c r="T301" s="139" t="s">
        <v>59</v>
      </c>
      <c r="U301" s="140"/>
      <c r="V301" s="140"/>
      <c r="W301" s="140"/>
      <c r="X301" s="140"/>
      <c r="Y301" s="141"/>
    </row>
    <row r="302" spans="1:27" x14ac:dyDescent="0.25">
      <c r="A302" s="240"/>
      <c r="B302" s="114">
        <v>1</v>
      </c>
      <c r="C302" s="117">
        <f>F298</f>
        <v>6.6</v>
      </c>
      <c r="D302" s="179">
        <v>0</v>
      </c>
      <c r="E302" s="6" t="s">
        <v>20</v>
      </c>
      <c r="F302" s="1" t="s">
        <v>126</v>
      </c>
      <c r="G302" s="6" t="s">
        <v>20</v>
      </c>
      <c r="H302" s="134" t="s">
        <v>173</v>
      </c>
      <c r="I302" s="1" t="s">
        <v>126</v>
      </c>
      <c r="J302" s="4">
        <v>0</v>
      </c>
      <c r="K302" s="14">
        <f>2077.94*$K$1</f>
        <v>2090.4076399999999</v>
      </c>
      <c r="L302" s="4">
        <f>K302*$L$299</f>
        <v>2613.0095499999998</v>
      </c>
      <c r="N302" s="118" t="s">
        <v>61</v>
      </c>
      <c r="O302" s="6"/>
      <c r="P302" s="14">
        <f>J302</f>
        <v>0</v>
      </c>
      <c r="Q302" s="4">
        <f>L302</f>
        <v>2613.0095499999998</v>
      </c>
      <c r="R302" s="19">
        <f>IF($Q$300=$R$300,$R$300,IF(RIGHT(N302)&gt;=RIGHT($R$297),$R$300,$Q$300))</f>
        <v>13.6</v>
      </c>
      <c r="S302" s="19" t="s">
        <v>173</v>
      </c>
      <c r="T302" s="6"/>
      <c r="U302" s="6"/>
      <c r="V302" s="6"/>
      <c r="W302" s="6"/>
      <c r="X302" s="6"/>
      <c r="Y302" s="6"/>
    </row>
    <row r="303" spans="1:27" x14ac:dyDescent="0.25">
      <c r="A303" s="241">
        <f>D303-D302</f>
        <v>0.12314262295081976</v>
      </c>
      <c r="B303" s="114">
        <v>2</v>
      </c>
      <c r="C303" s="117">
        <f>ROUND($C$302*(1-D303),2)</f>
        <v>5.79</v>
      </c>
      <c r="D303" s="179">
        <v>0.12314262295081976</v>
      </c>
      <c r="E303" s="6" t="s">
        <v>152</v>
      </c>
      <c r="F303" s="4">
        <v>384.35</v>
      </c>
      <c r="G303" s="6" t="s">
        <v>30</v>
      </c>
      <c r="H303" s="154" t="s">
        <v>177</v>
      </c>
      <c r="I303" s="230">
        <f>(F12*1.05^((LOG(6/5.02)/LOG(1.02)))-F12)*$K$1</f>
        <v>180.67772716705386</v>
      </c>
      <c r="J303" s="4">
        <f>J302+I303</f>
        <v>180.67772716705386</v>
      </c>
      <c r="K303" s="4">
        <f>$K$302+J303</f>
        <v>2271.0853671670538</v>
      </c>
      <c r="L303" s="4">
        <f t="shared" ref="L303:L304" si="62">K303*$L$299</f>
        <v>2838.8567089588173</v>
      </c>
      <c r="N303" s="118" t="s">
        <v>15</v>
      </c>
      <c r="O303" s="119">
        <v>0.1</v>
      </c>
      <c r="P303" s="14">
        <f>J302+(J303-J302)*(O303-D302)/(D303-D302)</f>
        <v>146.72233125910617</v>
      </c>
      <c r="Q303" s="4">
        <f>P303*$L$299</f>
        <v>183.4029140738827</v>
      </c>
      <c r="R303" s="19">
        <f>IF($Q$300=$R$300,$R$300,IF(RIGHT(N303)&gt;=RIGHT($R$297),$R$300,$Q$300))</f>
        <v>13.6</v>
      </c>
      <c r="S303" s="19" t="s">
        <v>185</v>
      </c>
      <c r="T303" s="6"/>
      <c r="U303" s="6"/>
      <c r="V303" s="6"/>
      <c r="W303" s="6"/>
      <c r="X303" s="6"/>
      <c r="Y303" s="6"/>
    </row>
    <row r="304" spans="1:27" x14ac:dyDescent="0.25">
      <c r="A304" s="241">
        <f t="shared" ref="A304:A307" si="63">D304-D303</f>
        <v>3.3599999999999991E-2</v>
      </c>
      <c r="B304" s="114">
        <v>3</v>
      </c>
      <c r="C304" s="117">
        <f>ROUND($C$302*(1-D304),2)</f>
        <v>5.57</v>
      </c>
      <c r="D304" s="179">
        <v>0.15674262295081975</v>
      </c>
      <c r="E304" s="6" t="s">
        <v>153</v>
      </c>
      <c r="F304" s="4">
        <v>61.28</v>
      </c>
      <c r="G304" s="6" t="s">
        <v>31</v>
      </c>
      <c r="H304" s="154" t="s">
        <v>177</v>
      </c>
      <c r="I304" s="1">
        <f>10.1232*$K$1</f>
        <v>10.183939200000001</v>
      </c>
      <c r="J304" s="4">
        <f>J303+I304</f>
        <v>190.86166636705386</v>
      </c>
      <c r="K304" s="4">
        <f>$K$302+J304</f>
        <v>2281.2693063670536</v>
      </c>
      <c r="L304" s="4">
        <f t="shared" si="62"/>
        <v>2851.5866329588171</v>
      </c>
      <c r="N304" s="118" t="s">
        <v>2</v>
      </c>
      <c r="O304" s="119">
        <v>0.15</v>
      </c>
      <c r="P304" s="14">
        <f>J303+(J304-J303)*(O304-D303)/(D304-D303)</f>
        <v>188.8180216593255</v>
      </c>
      <c r="Q304" s="4">
        <f t="shared" ref="Q304:Q306" si="64">P304*$L$299</f>
        <v>236.02252707415687</v>
      </c>
      <c r="R304" s="19">
        <f>IF($Q$300=$R$300,$R$300,IF(RIGHT(N304)&gt;=RIGHT($R$297),$R$300,$Q$300))</f>
        <v>13.6</v>
      </c>
      <c r="S304" s="19" t="s">
        <v>185</v>
      </c>
      <c r="T304" s="6"/>
      <c r="U304" s="6"/>
      <c r="V304" s="6"/>
      <c r="W304" s="6"/>
      <c r="X304" s="6"/>
      <c r="Y304" s="6"/>
    </row>
    <row r="305" spans="1:27" x14ac:dyDescent="0.25">
      <c r="A305" s="241">
        <f t="shared" si="63"/>
        <v>1.3445378151260512E-2</v>
      </c>
      <c r="B305" s="114">
        <v>4</v>
      </c>
      <c r="C305" s="117">
        <f>ROUND($C$302*(1-D305),2)</f>
        <v>5.48</v>
      </c>
      <c r="D305" s="179">
        <v>0.17018800110208027</v>
      </c>
      <c r="E305" s="6" t="s">
        <v>148</v>
      </c>
      <c r="F305" s="4">
        <v>29.73</v>
      </c>
      <c r="G305" s="6" t="s">
        <v>32</v>
      </c>
      <c r="H305" s="154" t="s">
        <v>177</v>
      </c>
      <c r="I305" s="1">
        <f>20.5*$K$1</f>
        <v>20.623000000000001</v>
      </c>
      <c r="J305" s="4">
        <f>J304+I305</f>
        <v>211.48466636705385</v>
      </c>
      <c r="K305" s="4">
        <f>$K$302+J305</f>
        <v>2301.8923063670536</v>
      </c>
      <c r="L305" s="4">
        <f>K305*$L$299</f>
        <v>2877.365382958817</v>
      </c>
      <c r="N305" s="118" t="s">
        <v>3</v>
      </c>
      <c r="O305" s="119">
        <v>0.2</v>
      </c>
      <c r="P305" s="177">
        <f>U305-Y305*(W305/X305)</f>
        <v>618.11890542796016</v>
      </c>
      <c r="Q305" s="4">
        <f t="shared" si="64"/>
        <v>772.64863178495023</v>
      </c>
      <c r="R305" s="19">
        <f>IF($Q$300=$R$300,$R$300,IF(RIGHT(N305)&gt;=RIGHT($R$297),$R$300,$Q$300))</f>
        <v>13.6</v>
      </c>
      <c r="S305" s="19" t="s">
        <v>186</v>
      </c>
      <c r="T305" s="155">
        <f>D307</f>
        <v>0.23316126313416582</v>
      </c>
      <c r="U305" s="156">
        <f>J307</f>
        <v>628.16986636705383</v>
      </c>
      <c r="V305" s="6"/>
      <c r="W305" s="162">
        <f>T305-O305</f>
        <v>3.3161263134165814E-2</v>
      </c>
      <c r="X305" s="162">
        <f>D304-D303</f>
        <v>3.3599999999999991E-2</v>
      </c>
      <c r="Y305" s="156">
        <f>I304</f>
        <v>10.183939200000001</v>
      </c>
    </row>
    <row r="306" spans="1:27" x14ac:dyDescent="0.25">
      <c r="A306" s="241">
        <f t="shared" si="63"/>
        <v>1.4973262032085571E-2</v>
      </c>
      <c r="B306" s="114">
        <v>5</v>
      </c>
      <c r="C306" s="117">
        <f>ROUND($C$302*(1-D306),2)</f>
        <v>5.38</v>
      </c>
      <c r="D306" s="179">
        <v>0.18516126313416584</v>
      </c>
      <c r="E306" s="6" t="s">
        <v>149</v>
      </c>
      <c r="F306" s="4">
        <v>50.23</v>
      </c>
      <c r="G306" s="6" t="s">
        <v>32</v>
      </c>
      <c r="H306" s="154" t="s">
        <v>178</v>
      </c>
      <c r="I306" s="1">
        <f>13.24*$K$1</f>
        <v>13.31944</v>
      </c>
      <c r="J306" s="4">
        <f>J305+I306</f>
        <v>224.80410636705386</v>
      </c>
      <c r="K306" s="4">
        <f>$K$302+J306</f>
        <v>2315.2117463670538</v>
      </c>
      <c r="L306" s="4">
        <f>K306*$L$299</f>
        <v>2894.0146829588175</v>
      </c>
      <c r="N306" s="118" t="s">
        <v>4</v>
      </c>
      <c r="O306" s="119">
        <f>D307</f>
        <v>0.23316126313416582</v>
      </c>
      <c r="P306" s="14">
        <f>J307</f>
        <v>628.16986636705383</v>
      </c>
      <c r="Q306" s="4">
        <f t="shared" si="64"/>
        <v>785.21233295881734</v>
      </c>
      <c r="R306" s="19">
        <f>IF($Q$300=$R$300,$R$300,IF(RIGHT(N306)&gt;=RIGHT($R$297),$R$300,$Q$300))</f>
        <v>13.6</v>
      </c>
      <c r="S306" s="19" t="s">
        <v>132</v>
      </c>
      <c r="T306" s="155"/>
      <c r="U306" s="156"/>
      <c r="V306" s="6"/>
      <c r="W306" s="162"/>
      <c r="X306" s="162"/>
      <c r="Y306" s="156"/>
    </row>
    <row r="307" spans="1:27" x14ac:dyDescent="0.25">
      <c r="A307" s="241">
        <f t="shared" si="63"/>
        <v>4.7999999999999987E-2</v>
      </c>
      <c r="B307" s="114">
        <v>6</v>
      </c>
      <c r="C307" s="117">
        <f>ROUND($C$302*(1-D307),2)</f>
        <v>5.0599999999999996</v>
      </c>
      <c r="D307" s="179">
        <v>0.23316126313416582</v>
      </c>
      <c r="E307" s="6" t="s">
        <v>150</v>
      </c>
      <c r="F307" s="1">
        <v>400.96</v>
      </c>
      <c r="G307" s="6" t="s">
        <v>151</v>
      </c>
      <c r="H307" s="154" t="s">
        <v>178</v>
      </c>
      <c r="I307" s="1">
        <f>400.96*$K$1</f>
        <v>403.36575999999997</v>
      </c>
      <c r="J307" s="4">
        <f>J306+I307</f>
        <v>628.16986636705383</v>
      </c>
      <c r="K307" s="4">
        <f>$K$302+J307</f>
        <v>2718.5775063670535</v>
      </c>
      <c r="L307" s="4">
        <f>K307*$L$299</f>
        <v>3398.2218829588169</v>
      </c>
      <c r="N307" s="118" t="s">
        <v>5</v>
      </c>
      <c r="O307" s="119"/>
      <c r="P307" s="13"/>
      <c r="Q307" s="22"/>
      <c r="R307" s="19"/>
      <c r="S307" s="19"/>
      <c r="T307" s="157"/>
      <c r="U307" s="4"/>
      <c r="V307" s="6"/>
      <c r="W307" s="157"/>
      <c r="X307" s="157"/>
      <c r="Y307" s="1"/>
    </row>
    <row r="308" spans="1:27" x14ac:dyDescent="0.25">
      <c r="A308" s="240"/>
      <c r="B308" s="114">
        <v>7</v>
      </c>
      <c r="C308" s="185"/>
      <c r="D308" s="186"/>
      <c r="E308" s="115"/>
      <c r="F308" s="187"/>
      <c r="G308" s="115"/>
      <c r="H308" s="115"/>
      <c r="I308" s="1"/>
      <c r="J308" s="4"/>
      <c r="K308" s="4"/>
      <c r="L308" s="2"/>
      <c r="N308" s="118" t="s">
        <v>62</v>
      </c>
      <c r="O308" s="123"/>
      <c r="P308" s="13"/>
      <c r="Q308" s="22"/>
      <c r="R308" s="19"/>
      <c r="S308" s="19"/>
      <c r="T308" s="6"/>
      <c r="U308" s="6"/>
      <c r="V308" s="6"/>
      <c r="W308" s="6"/>
      <c r="X308" s="6"/>
      <c r="Y308" s="6"/>
    </row>
    <row r="309" spans="1:27" x14ac:dyDescent="0.25">
      <c r="A309" s="240"/>
      <c r="B309" s="114">
        <v>8</v>
      </c>
      <c r="C309" s="185"/>
      <c r="D309" s="186"/>
      <c r="E309" s="115"/>
      <c r="F309" s="187"/>
      <c r="G309" s="115"/>
      <c r="H309" s="115"/>
      <c r="I309" s="1"/>
      <c r="J309" s="4"/>
      <c r="K309" s="4"/>
      <c r="L309" s="2"/>
    </row>
    <row r="310" spans="1:27" ht="19.5" thickBot="1" x14ac:dyDescent="0.35">
      <c r="A310" s="240"/>
      <c r="B310" s="114">
        <v>9</v>
      </c>
      <c r="C310" s="185"/>
      <c r="D310" s="186"/>
      <c r="E310" s="115"/>
      <c r="F310" s="187"/>
      <c r="G310" s="115"/>
      <c r="H310" s="115"/>
      <c r="I310" s="1"/>
      <c r="J310" s="4"/>
      <c r="K310" s="4"/>
      <c r="L310" s="2"/>
      <c r="N310" s="131" t="s">
        <v>188</v>
      </c>
      <c r="O310" s="129"/>
      <c r="P310" s="129"/>
      <c r="Q310" s="129"/>
      <c r="R310" s="129"/>
      <c r="S310" s="129"/>
      <c r="T310" s="129"/>
      <c r="U310" s="129"/>
      <c r="V310" s="129"/>
    </row>
    <row r="311" spans="1:27" ht="15.75" thickBot="1" x14ac:dyDescent="0.3">
      <c r="A311" s="240"/>
      <c r="B311" s="114">
        <v>10</v>
      </c>
      <c r="C311" s="174"/>
      <c r="D311" s="6"/>
      <c r="E311" s="6"/>
      <c r="F311" s="6"/>
      <c r="G311" s="6"/>
      <c r="H311" s="6"/>
      <c r="I311" s="1"/>
      <c r="J311" s="4"/>
      <c r="K311" s="4"/>
      <c r="L311" s="6"/>
      <c r="N311" s="313" t="s">
        <v>61</v>
      </c>
      <c r="O311" s="313" t="s">
        <v>15</v>
      </c>
      <c r="P311" s="313" t="s">
        <v>2</v>
      </c>
      <c r="Q311" s="313" t="s">
        <v>3</v>
      </c>
      <c r="R311" s="313" t="s">
        <v>4</v>
      </c>
      <c r="S311" s="313" t="s">
        <v>5</v>
      </c>
      <c r="T311" s="313" t="s">
        <v>62</v>
      </c>
      <c r="U311" s="313" t="s">
        <v>114</v>
      </c>
      <c r="V311" s="313"/>
    </row>
    <row r="312" spans="1:27" ht="15.75" thickBot="1" x14ac:dyDescent="0.3">
      <c r="A312" s="240"/>
      <c r="C312" s="21"/>
      <c r="N312" s="271"/>
      <c r="O312" s="271"/>
      <c r="P312" s="271"/>
      <c r="Q312" s="271"/>
      <c r="R312" s="271"/>
      <c r="S312" s="271"/>
      <c r="T312" s="271"/>
      <c r="U312" s="146" t="s">
        <v>115</v>
      </c>
      <c r="V312" s="146" t="s">
        <v>116</v>
      </c>
    </row>
    <row r="313" spans="1:27" ht="15.75" thickBot="1" x14ac:dyDescent="0.3">
      <c r="A313" s="240"/>
      <c r="C313" s="5"/>
      <c r="I313" s="24"/>
      <c r="N313" s="213">
        <f>P302</f>
        <v>0</v>
      </c>
      <c r="O313" s="213">
        <f>P303</f>
        <v>146.72233125910617</v>
      </c>
      <c r="P313" s="213">
        <f>P304</f>
        <v>188.8180216593255</v>
      </c>
      <c r="Q313" s="213">
        <f>P305</f>
        <v>618.11890542796016</v>
      </c>
      <c r="R313" s="221">
        <f>P306</f>
        <v>628.16986636705383</v>
      </c>
      <c r="S313" s="221">
        <f>P307</f>
        <v>0</v>
      </c>
      <c r="T313" s="221">
        <f>P308</f>
        <v>0</v>
      </c>
      <c r="U313" s="214">
        <f>MAX(O301:O308)</f>
        <v>0.23316126313416582</v>
      </c>
      <c r="V313" s="213">
        <f>MAX(N313:T313)</f>
        <v>628.16986636705383</v>
      </c>
    </row>
    <row r="314" spans="1:27" x14ac:dyDescent="0.25">
      <c r="A314" s="240"/>
      <c r="C314" s="5"/>
      <c r="I314" s="24"/>
    </row>
    <row r="315" spans="1:27" s="196" customFormat="1" x14ac:dyDescent="0.25">
      <c r="A315" s="242"/>
      <c r="C315" s="204"/>
      <c r="I315" s="197"/>
    </row>
    <row r="316" spans="1:27" s="196" customFormat="1" x14ac:dyDescent="0.25">
      <c r="A316" s="242"/>
      <c r="C316" s="204"/>
      <c r="I316" s="197"/>
    </row>
    <row r="317" spans="1:27" ht="15.75" thickBot="1" x14ac:dyDescent="0.3">
      <c r="A317" s="240"/>
      <c r="R317" s="130" t="s">
        <v>181</v>
      </c>
    </row>
    <row r="318" spans="1:27" ht="18.75" x14ac:dyDescent="0.3">
      <c r="A318" s="240"/>
      <c r="B318" s="131" t="s">
        <v>190</v>
      </c>
      <c r="C318" s="9"/>
      <c r="R318" s="138" t="s">
        <v>173</v>
      </c>
    </row>
    <row r="319" spans="1:27" ht="19.5" thickBot="1" x14ac:dyDescent="0.35">
      <c r="A319" s="240"/>
      <c r="C319" s="9"/>
      <c r="E319" s="97" t="s">
        <v>54</v>
      </c>
      <c r="F319" s="9">
        <f>11.5-0.00629*P321</f>
        <v>10.116199999999999</v>
      </c>
      <c r="H319" t="s">
        <v>175</v>
      </c>
      <c r="I319" s="99" t="s">
        <v>106</v>
      </c>
      <c r="L319" s="129" t="s">
        <v>180</v>
      </c>
      <c r="N319" s="131" t="s">
        <v>189</v>
      </c>
      <c r="Q319" s="137" t="s">
        <v>182</v>
      </c>
      <c r="R319" s="137" t="s">
        <v>183</v>
      </c>
    </row>
    <row r="320" spans="1:27" ht="30.75" thickBot="1" x14ac:dyDescent="0.3">
      <c r="A320" s="240"/>
      <c r="B320" s="304" t="s">
        <v>40</v>
      </c>
      <c r="C320" s="305"/>
      <c r="D320" s="303" t="s">
        <v>102</v>
      </c>
      <c r="E320" s="303"/>
      <c r="F320" s="303"/>
      <c r="G320" s="303"/>
      <c r="H320" s="303"/>
      <c r="I320" s="303"/>
      <c r="J320" s="303"/>
      <c r="K320" s="303"/>
      <c r="L320" s="100">
        <v>1.25</v>
      </c>
      <c r="N320" s="94" t="s">
        <v>16</v>
      </c>
      <c r="O320" s="103" t="s">
        <v>0</v>
      </c>
      <c r="P320" s="104" t="s">
        <v>55</v>
      </c>
      <c r="Q320" s="101" t="s">
        <v>97</v>
      </c>
      <c r="R320" s="101" t="s">
        <v>98</v>
      </c>
      <c r="S320" s="105" t="s">
        <v>1</v>
      </c>
      <c r="Y320" s="188"/>
      <c r="Z320" s="188"/>
      <c r="AA320" s="188"/>
    </row>
    <row r="321" spans="1:25" ht="40.5" customHeight="1" thickBot="1" x14ac:dyDescent="0.3">
      <c r="A321" s="240"/>
      <c r="B321" s="299" t="s">
        <v>53</v>
      </c>
      <c r="C321" s="299" t="s">
        <v>17</v>
      </c>
      <c r="D321" s="299" t="s">
        <v>23</v>
      </c>
      <c r="E321" s="299" t="s">
        <v>19</v>
      </c>
      <c r="F321" s="307" t="s">
        <v>28</v>
      </c>
      <c r="G321" s="308"/>
      <c r="H321" s="309"/>
      <c r="I321" s="301" t="s">
        <v>26</v>
      </c>
      <c r="J321" s="302"/>
      <c r="K321" s="297" t="s">
        <v>52</v>
      </c>
      <c r="L321" s="297" t="s">
        <v>34</v>
      </c>
      <c r="N321" s="43" t="s">
        <v>8</v>
      </c>
      <c r="O321" s="192">
        <v>0.24412125772985199</v>
      </c>
      <c r="P321" s="65">
        <v>220</v>
      </c>
      <c r="Q321" s="56">
        <v>12</v>
      </c>
      <c r="R321" s="190">
        <f>Q321</f>
        <v>12</v>
      </c>
      <c r="S321" t="s">
        <v>12</v>
      </c>
    </row>
    <row r="322" spans="1:25" ht="30" x14ac:dyDescent="0.25">
      <c r="A322" s="240"/>
      <c r="B322" s="300"/>
      <c r="C322" s="300"/>
      <c r="D322" s="300"/>
      <c r="E322" s="300"/>
      <c r="F322" s="106" t="s">
        <v>27</v>
      </c>
      <c r="G322" s="106" t="s">
        <v>29</v>
      </c>
      <c r="H322" s="128" t="s">
        <v>176</v>
      </c>
      <c r="I322" s="106" t="s">
        <v>25</v>
      </c>
      <c r="J322" s="107" t="s">
        <v>24</v>
      </c>
      <c r="K322" s="298"/>
      <c r="L322" s="298"/>
      <c r="N322" s="116" t="s">
        <v>56</v>
      </c>
      <c r="O322" s="116" t="s">
        <v>57</v>
      </c>
      <c r="P322" s="116" t="s">
        <v>58</v>
      </c>
      <c r="Q322" s="116" t="s">
        <v>96</v>
      </c>
      <c r="R322" s="116" t="s">
        <v>99</v>
      </c>
      <c r="S322" s="142" t="s">
        <v>184</v>
      </c>
      <c r="T322" s="314" t="s">
        <v>59</v>
      </c>
      <c r="U322" s="315"/>
      <c r="V322" s="315"/>
      <c r="W322" s="315"/>
      <c r="X322" s="315"/>
      <c r="Y322" s="316"/>
    </row>
    <row r="323" spans="1:25" x14ac:dyDescent="0.25">
      <c r="A323" s="240"/>
      <c r="B323" s="114">
        <v>1</v>
      </c>
      <c r="C323" s="117">
        <f>F319</f>
        <v>10.116199999999999</v>
      </c>
      <c r="D323" s="179">
        <v>0</v>
      </c>
      <c r="E323" s="6" t="s">
        <v>20</v>
      </c>
      <c r="F323" s="1">
        <v>0</v>
      </c>
      <c r="G323" s="6" t="s">
        <v>20</v>
      </c>
      <c r="H323" s="134" t="s">
        <v>173</v>
      </c>
      <c r="I323" s="1">
        <v>0</v>
      </c>
      <c r="J323" s="4">
        <v>0</v>
      </c>
      <c r="K323" s="14">
        <f>1402.63*$K$1</f>
        <v>1411.0457800000001</v>
      </c>
      <c r="L323" s="4">
        <f>K323*$L$299</f>
        <v>1763.8072250000002</v>
      </c>
      <c r="N323" s="118" t="s">
        <v>61</v>
      </c>
      <c r="O323" s="6"/>
      <c r="P323" s="14">
        <f>J323</f>
        <v>0</v>
      </c>
      <c r="Q323" s="4">
        <f>L323</f>
        <v>1763.8072250000002</v>
      </c>
      <c r="R323" s="19">
        <f t="shared" ref="R323:R328" si="65">IF($Q$321=$R$321,$R$321,IF(RIGHT(N323)&gt;=RIGHT(R$318),$R$321,$Q$321))</f>
        <v>12</v>
      </c>
      <c r="S323" s="19" t="s">
        <v>173</v>
      </c>
      <c r="T323" s="6"/>
      <c r="U323" s="6"/>
      <c r="V323" s="6"/>
      <c r="W323" s="6"/>
      <c r="X323" s="6"/>
      <c r="Y323" s="6"/>
    </row>
    <row r="324" spans="1:25" x14ac:dyDescent="0.25">
      <c r="A324" s="241">
        <f>D324-D323</f>
        <v>9.264853977844914E-2</v>
      </c>
      <c r="B324" s="114">
        <v>2</v>
      </c>
      <c r="C324" s="154">
        <f>ROUND($C$323*(1-D324),2)</f>
        <v>9.18</v>
      </c>
      <c r="D324" s="179">
        <v>9.264853977844914E-2</v>
      </c>
      <c r="E324" s="6" t="s">
        <v>154</v>
      </c>
      <c r="F324" s="4">
        <v>52.378320000000002</v>
      </c>
      <c r="G324" s="6" t="s">
        <v>31</v>
      </c>
      <c r="H324" s="154" t="s">
        <v>177</v>
      </c>
      <c r="I324" s="1">
        <f>10.18*$K$1</f>
        <v>10.24108</v>
      </c>
      <c r="J324" s="4">
        <f>J323+I324</f>
        <v>10.24108</v>
      </c>
      <c r="K324" s="4">
        <f>$K$323+J324</f>
        <v>1421.2868600000002</v>
      </c>
      <c r="L324" s="4">
        <f t="shared" ref="L324:L328" si="66">K324*$L$299</f>
        <v>1776.6085750000002</v>
      </c>
      <c r="N324" s="118" t="s">
        <v>15</v>
      </c>
      <c r="O324" s="119">
        <v>0.1</v>
      </c>
      <c r="P324" s="14">
        <f>J324+(J325-J324)*(O324-D324)/(D325-D324)</f>
        <v>20.678418589873498</v>
      </c>
      <c r="Q324" s="4">
        <f>P324*$L$320</f>
        <v>25.848023237341874</v>
      </c>
      <c r="R324" s="19">
        <f t="shared" si="65"/>
        <v>12</v>
      </c>
      <c r="S324" s="19" t="s">
        <v>185</v>
      </c>
      <c r="T324" s="6"/>
      <c r="U324" s="6"/>
      <c r="V324" s="6"/>
      <c r="W324" s="6"/>
      <c r="X324" s="6"/>
      <c r="Y324" s="6"/>
    </row>
    <row r="325" spans="1:25" x14ac:dyDescent="0.25">
      <c r="A325" s="241">
        <f t="shared" ref="A325:A328" si="67">D325-D324</f>
        <v>0.1090909090909091</v>
      </c>
      <c r="B325" s="114">
        <v>3</v>
      </c>
      <c r="C325" s="154">
        <f>ROUND($C$323*(1-D325),2)</f>
        <v>8.08</v>
      </c>
      <c r="D325" s="179">
        <v>0.20173944886935824</v>
      </c>
      <c r="E325" s="6" t="s">
        <v>155</v>
      </c>
      <c r="F325" s="4">
        <v>315.9174855000694</v>
      </c>
      <c r="G325" s="6" t="s">
        <v>30</v>
      </c>
      <c r="H325" s="154" t="s">
        <v>177</v>
      </c>
      <c r="I325" s="230">
        <f>(F12*1.05^((LOG(5.5/4.7)/LOG(1.02)))-F12)*$K$1</f>
        <v>154.88334574960456</v>
      </c>
      <c r="J325" s="4">
        <f t="shared" ref="J325:J328" si="68">J324+I325</f>
        <v>165.12442574960457</v>
      </c>
      <c r="K325" s="4">
        <f>$K$323+J325</f>
        <v>1576.1702057496047</v>
      </c>
      <c r="L325" s="4">
        <f t="shared" si="66"/>
        <v>1970.212757187006</v>
      </c>
      <c r="N325" s="118" t="s">
        <v>2</v>
      </c>
      <c r="O325" s="119">
        <v>0.15</v>
      </c>
      <c r="P325" s="14">
        <f>J324+(J325-J324)*(O325-D324)/(D325-D324)</f>
        <v>91.666618725108904</v>
      </c>
      <c r="Q325" s="4">
        <f>P325*$L$320</f>
        <v>114.58327340638613</v>
      </c>
      <c r="R325" s="19">
        <f t="shared" si="65"/>
        <v>12</v>
      </c>
      <c r="S325" s="19" t="s">
        <v>185</v>
      </c>
      <c r="T325" s="6"/>
      <c r="U325" s="6"/>
      <c r="V325" s="6"/>
      <c r="W325" s="6"/>
      <c r="X325" s="6"/>
      <c r="Y325" s="6"/>
    </row>
    <row r="326" spans="1:25" x14ac:dyDescent="0.25">
      <c r="A326" s="241">
        <f t="shared" si="67"/>
        <v>1.5974440894568676E-2</v>
      </c>
      <c r="B326" s="114">
        <v>4</v>
      </c>
      <c r="C326" s="154">
        <f>ROUND($C$323*(1-D326),2)</f>
        <v>7.91</v>
      </c>
      <c r="D326" s="179">
        <v>0.21771388976392692</v>
      </c>
      <c r="E326" s="6" t="s">
        <v>148</v>
      </c>
      <c r="F326" s="4">
        <v>19.450331788645869</v>
      </c>
      <c r="G326" s="6" t="s">
        <v>32</v>
      </c>
      <c r="H326" s="154" t="s">
        <v>177</v>
      </c>
      <c r="I326" s="1">
        <f>13.11*$K$1</f>
        <v>13.188659999999999</v>
      </c>
      <c r="J326" s="4">
        <f t="shared" si="68"/>
        <v>178.31308574960457</v>
      </c>
      <c r="K326" s="4">
        <f>$K$323+J326</f>
        <v>1589.3588657496048</v>
      </c>
      <c r="L326" s="4">
        <f t="shared" si="66"/>
        <v>1986.698582187006</v>
      </c>
      <c r="N326" s="118" t="s">
        <v>3</v>
      </c>
      <c r="O326" s="119">
        <v>0.2</v>
      </c>
      <c r="P326" s="14">
        <f>J324+(J325-J324)*(O326-D324)/(D325-D324)</f>
        <v>162.65481886034434</v>
      </c>
      <c r="Q326" s="4">
        <f>P326*$L$320</f>
        <v>203.31852357543042</v>
      </c>
      <c r="R326" s="19">
        <f t="shared" si="65"/>
        <v>12</v>
      </c>
      <c r="S326" s="19" t="s">
        <v>185</v>
      </c>
      <c r="T326" s="6"/>
      <c r="U326" s="6"/>
      <c r="V326" s="6"/>
      <c r="W326" s="6"/>
      <c r="X326" s="6"/>
      <c r="Y326" s="6"/>
    </row>
    <row r="327" spans="1:25" x14ac:dyDescent="0.25">
      <c r="A327" s="241">
        <f t="shared" si="67"/>
        <v>1.778971826895151E-2</v>
      </c>
      <c r="B327" s="114">
        <v>5</v>
      </c>
      <c r="C327" s="154">
        <f>ROUND($C$323*(1-D327),2)</f>
        <v>7.73</v>
      </c>
      <c r="D327" s="179">
        <v>0.23550360803287843</v>
      </c>
      <c r="E327" s="6" t="s">
        <v>149</v>
      </c>
      <c r="F327" s="4">
        <v>32.556031828169928</v>
      </c>
      <c r="G327" s="6" t="s">
        <v>32</v>
      </c>
      <c r="H327" s="154" t="s">
        <v>178</v>
      </c>
      <c r="I327" s="1">
        <f>6.47*$K$1</f>
        <v>6.5088200000000001</v>
      </c>
      <c r="J327" s="4">
        <f t="shared" si="68"/>
        <v>184.82190574960458</v>
      </c>
      <c r="K327" s="4">
        <f>$K$323+J327</f>
        <v>1595.8676857496048</v>
      </c>
      <c r="L327" s="4">
        <f t="shared" si="66"/>
        <v>1994.834607187006</v>
      </c>
      <c r="N327" s="118" t="s">
        <v>4</v>
      </c>
      <c r="O327" s="119">
        <v>0.25</v>
      </c>
      <c r="P327" s="177">
        <f>U327-Y327*(W327/X327)</f>
        <v>452.72295915332143</v>
      </c>
      <c r="Q327" s="4">
        <f t="shared" ref="Q327:Q328" si="69">P327*$L$320</f>
        <v>565.90369894165178</v>
      </c>
      <c r="R327" s="19">
        <f t="shared" si="65"/>
        <v>12</v>
      </c>
      <c r="S327" s="19" t="s">
        <v>186</v>
      </c>
      <c r="T327" s="157">
        <f>D328</f>
        <v>0.28484902595835676</v>
      </c>
      <c r="U327" s="4">
        <f>J328</f>
        <v>502.20035173831832</v>
      </c>
      <c r="V327" s="157"/>
      <c r="W327" s="162">
        <f>T327-O327</f>
        <v>3.4849025958356761E-2</v>
      </c>
      <c r="X327" s="162">
        <f>D325-D324</f>
        <v>0.1090909090909091</v>
      </c>
      <c r="Y327" s="156">
        <f>I325</f>
        <v>154.88334574960456</v>
      </c>
    </row>
    <row r="328" spans="1:25" ht="15.75" customHeight="1" x14ac:dyDescent="0.25">
      <c r="A328" s="241">
        <f t="shared" si="67"/>
        <v>4.9345417925478335E-2</v>
      </c>
      <c r="B328" s="114">
        <v>6</v>
      </c>
      <c r="C328" s="154">
        <f>ROUND($C$323*(1-D328),2)</f>
        <v>7.23</v>
      </c>
      <c r="D328" s="179">
        <v>0.28484902595835676</v>
      </c>
      <c r="E328" s="6" t="s">
        <v>150</v>
      </c>
      <c r="F328" s="4">
        <v>315.48553279196193</v>
      </c>
      <c r="G328" s="6" t="s">
        <v>151</v>
      </c>
      <c r="H328" s="154" t="s">
        <v>178</v>
      </c>
      <c r="I328" s="1">
        <f>315.485532791962*$K$1</f>
        <v>317.37844598871374</v>
      </c>
      <c r="J328" s="4">
        <f t="shared" si="68"/>
        <v>502.20035173831832</v>
      </c>
      <c r="K328" s="4">
        <f>$K$323+J328</f>
        <v>1913.2461317383186</v>
      </c>
      <c r="L328" s="4">
        <f t="shared" si="66"/>
        <v>2391.5576646728982</v>
      </c>
      <c r="N328" s="118" t="s">
        <v>5</v>
      </c>
      <c r="O328" s="193">
        <f>D328</f>
        <v>0.28484902595835676</v>
      </c>
      <c r="P328" s="14">
        <f>J328</f>
        <v>502.20035173831832</v>
      </c>
      <c r="Q328" s="4">
        <f t="shared" si="69"/>
        <v>627.75043967289787</v>
      </c>
      <c r="R328" s="19">
        <f t="shared" si="65"/>
        <v>12</v>
      </c>
      <c r="S328" s="19" t="s">
        <v>132</v>
      </c>
      <c r="T328" s="157"/>
      <c r="U328" s="4"/>
      <c r="V328" s="6"/>
      <c r="W328" s="157"/>
      <c r="X328" s="157"/>
      <c r="Y328" s="1"/>
    </row>
    <row r="329" spans="1:25" x14ac:dyDescent="0.25">
      <c r="A329" s="240"/>
      <c r="B329" s="114">
        <v>7</v>
      </c>
      <c r="C329" s="185"/>
      <c r="D329" s="186"/>
      <c r="E329" s="115"/>
      <c r="F329" s="187"/>
      <c r="G329" s="115"/>
      <c r="H329" s="115"/>
      <c r="I329" s="1"/>
      <c r="J329" s="4"/>
      <c r="K329" s="4"/>
      <c r="L329" s="2"/>
      <c r="N329" s="118" t="s">
        <v>62</v>
      </c>
      <c r="O329" s="194"/>
      <c r="P329" s="195"/>
      <c r="Q329" s="22"/>
      <c r="R329" s="6"/>
      <c r="S329" s="19"/>
      <c r="T329" s="6"/>
      <c r="U329" s="6"/>
      <c r="V329" s="6"/>
      <c r="W329" s="6"/>
      <c r="X329" s="6"/>
      <c r="Y329" s="6"/>
    </row>
    <row r="330" spans="1:25" x14ac:dyDescent="0.25">
      <c r="A330" s="240"/>
      <c r="B330" s="114">
        <v>8</v>
      </c>
      <c r="C330" s="185"/>
      <c r="D330" s="186"/>
      <c r="E330" s="115"/>
      <c r="F330" s="187"/>
      <c r="G330" s="115"/>
      <c r="H330" s="115"/>
      <c r="I330" s="1"/>
      <c r="J330" s="4"/>
      <c r="K330" s="4"/>
      <c r="L330" s="2"/>
    </row>
    <row r="331" spans="1:25" ht="19.5" thickBot="1" x14ac:dyDescent="0.35">
      <c r="A331" s="240"/>
      <c r="B331" s="114">
        <v>9</v>
      </c>
      <c r="C331" s="185"/>
      <c r="D331" s="186"/>
      <c r="E331" s="115"/>
      <c r="F331" s="187"/>
      <c r="G331" s="115"/>
      <c r="H331" s="115"/>
      <c r="I331" s="1"/>
      <c r="J331" s="4"/>
      <c r="K331" s="4"/>
      <c r="L331" s="2"/>
      <c r="N331" s="131" t="s">
        <v>188</v>
      </c>
      <c r="O331" s="129"/>
      <c r="P331" s="129"/>
      <c r="Q331" s="129"/>
      <c r="R331" s="129"/>
      <c r="S331" s="129"/>
      <c r="T331" s="129"/>
      <c r="U331" s="129"/>
      <c r="V331" s="129"/>
    </row>
    <row r="332" spans="1:25" ht="15.75" customHeight="1" thickBot="1" x14ac:dyDescent="0.3">
      <c r="A332" s="240"/>
      <c r="B332" s="114">
        <v>10</v>
      </c>
      <c r="C332" s="174"/>
      <c r="D332" s="6"/>
      <c r="E332" s="6"/>
      <c r="F332" s="6"/>
      <c r="G332" s="6"/>
      <c r="H332" s="6"/>
      <c r="I332" s="1"/>
      <c r="J332" s="4"/>
      <c r="K332" s="4"/>
      <c r="L332" s="6"/>
      <c r="N332" s="313" t="s">
        <v>61</v>
      </c>
      <c r="O332" s="313" t="s">
        <v>15</v>
      </c>
      <c r="P332" s="313" t="s">
        <v>2</v>
      </c>
      <c r="Q332" s="313" t="s">
        <v>3</v>
      </c>
      <c r="R332" s="313" t="s">
        <v>4</v>
      </c>
      <c r="S332" s="313" t="s">
        <v>5</v>
      </c>
      <c r="T332" s="313" t="s">
        <v>62</v>
      </c>
      <c r="U332" s="313" t="s">
        <v>114</v>
      </c>
      <c r="V332" s="313"/>
    </row>
    <row r="333" spans="1:25" ht="15.75" thickBot="1" x14ac:dyDescent="0.3">
      <c r="A333" s="240"/>
      <c r="C333">
        <f>10.91-8.5</f>
        <v>2.41</v>
      </c>
      <c r="D333" s="231"/>
      <c r="N333" s="271"/>
      <c r="O333" s="271"/>
      <c r="P333" s="271"/>
      <c r="Q333" s="271"/>
      <c r="R333" s="271"/>
      <c r="S333" s="271"/>
      <c r="T333" s="271"/>
      <c r="U333" s="146" t="s">
        <v>115</v>
      </c>
      <c r="V333" s="146" t="s">
        <v>116</v>
      </c>
    </row>
    <row r="334" spans="1:25" ht="15.75" thickBot="1" x14ac:dyDescent="0.3">
      <c r="A334" s="240"/>
      <c r="N334" s="213">
        <f>P323</f>
        <v>0</v>
      </c>
      <c r="O334" s="213">
        <f>P324</f>
        <v>20.678418589873498</v>
      </c>
      <c r="P334" s="213">
        <f>P325</f>
        <v>91.666618725108904</v>
      </c>
      <c r="Q334" s="213">
        <f>P326</f>
        <v>162.65481886034434</v>
      </c>
      <c r="R334" s="213">
        <f>P327</f>
        <v>452.72295915332143</v>
      </c>
      <c r="S334" s="221">
        <f>P328</f>
        <v>502.20035173831832</v>
      </c>
      <c r="T334" s="221">
        <f>P329</f>
        <v>0</v>
      </c>
      <c r="U334" s="214">
        <f>MAX(O322:O329)</f>
        <v>0.28484902595835676</v>
      </c>
      <c r="V334" s="213">
        <f>MAX(N334:T334)</f>
        <v>502.20035173831832</v>
      </c>
    </row>
    <row r="335" spans="1:25" x14ac:dyDescent="0.25">
      <c r="A335" s="240"/>
    </row>
    <row r="336" spans="1:25" s="196" customFormat="1" x14ac:dyDescent="0.25">
      <c r="A336" s="242"/>
    </row>
    <row r="337" spans="1:25" s="196" customFormat="1" x14ac:dyDescent="0.25">
      <c r="A337" s="242"/>
    </row>
    <row r="338" spans="1:25" x14ac:dyDescent="0.25">
      <c r="A338" s="240"/>
    </row>
    <row r="339" spans="1:25" ht="19.5" thickBot="1" x14ac:dyDescent="0.35">
      <c r="A339" s="240"/>
      <c r="B339" s="131" t="s">
        <v>190</v>
      </c>
      <c r="R339" s="130" t="s">
        <v>181</v>
      </c>
    </row>
    <row r="340" spans="1:25" ht="15.75" thickBot="1" x14ac:dyDescent="0.3">
      <c r="A340" s="240"/>
      <c r="E340" s="97" t="s">
        <v>54</v>
      </c>
      <c r="F340" s="9">
        <f>10-P343*0.00459</f>
        <v>6.3279999999999994</v>
      </c>
      <c r="H340" t="s">
        <v>175</v>
      </c>
      <c r="I340" s="99" t="s">
        <v>158</v>
      </c>
      <c r="L340" s="129" t="s">
        <v>180</v>
      </c>
      <c r="R340" s="138" t="s">
        <v>173</v>
      </c>
    </row>
    <row r="341" spans="1:25" ht="16.5" customHeight="1" thickBot="1" x14ac:dyDescent="0.35">
      <c r="A341" s="240"/>
      <c r="B341" s="304" t="s">
        <v>135</v>
      </c>
      <c r="C341" s="305"/>
      <c r="D341" s="318" t="s">
        <v>72</v>
      </c>
      <c r="E341" s="303"/>
      <c r="F341" s="303"/>
      <c r="G341" s="303"/>
      <c r="H341" s="303"/>
      <c r="I341" s="303"/>
      <c r="J341" s="303"/>
      <c r="K341" s="303"/>
      <c r="L341" s="100">
        <v>1.25</v>
      </c>
      <c r="N341" s="131" t="s">
        <v>189</v>
      </c>
      <c r="Q341" s="137" t="s">
        <v>182</v>
      </c>
      <c r="R341" s="137" t="s">
        <v>183</v>
      </c>
    </row>
    <row r="342" spans="1:25" ht="30.75" thickBot="1" x14ac:dyDescent="0.3">
      <c r="A342" s="240"/>
      <c r="B342" s="299" t="s">
        <v>53</v>
      </c>
      <c r="C342" s="299" t="s">
        <v>17</v>
      </c>
      <c r="D342" s="299" t="s">
        <v>18</v>
      </c>
      <c r="E342" s="299" t="s">
        <v>19</v>
      </c>
      <c r="F342" s="307" t="s">
        <v>28</v>
      </c>
      <c r="G342" s="308"/>
      <c r="H342" s="309"/>
      <c r="I342" s="301" t="s">
        <v>26</v>
      </c>
      <c r="J342" s="302"/>
      <c r="K342" s="297" t="s">
        <v>52</v>
      </c>
      <c r="L342" s="297" t="s">
        <v>34</v>
      </c>
      <c r="N342" s="102" t="s">
        <v>6</v>
      </c>
      <c r="O342" s="103" t="s">
        <v>0</v>
      </c>
      <c r="P342" s="104" t="s">
        <v>55</v>
      </c>
      <c r="Q342" s="101" t="s">
        <v>97</v>
      </c>
      <c r="R342" s="101" t="s">
        <v>98</v>
      </c>
      <c r="S342" s="105" t="s">
        <v>1</v>
      </c>
    </row>
    <row r="343" spans="1:25" ht="25.5" x14ac:dyDescent="0.25">
      <c r="A343" s="240"/>
      <c r="B343" s="300"/>
      <c r="C343" s="300"/>
      <c r="D343" s="300"/>
      <c r="E343" s="300"/>
      <c r="F343" s="106" t="s">
        <v>27</v>
      </c>
      <c r="G343" s="106" t="s">
        <v>29</v>
      </c>
      <c r="H343" s="128" t="s">
        <v>176</v>
      </c>
      <c r="I343" s="106" t="s">
        <v>25</v>
      </c>
      <c r="J343" s="107" t="s">
        <v>24</v>
      </c>
      <c r="K343" s="298"/>
      <c r="L343" s="298"/>
      <c r="N343" s="108" t="s">
        <v>9</v>
      </c>
      <c r="O343" s="109">
        <v>0.18364154866628288</v>
      </c>
      <c r="P343" s="110">
        <v>800</v>
      </c>
      <c r="Q343" s="111">
        <v>12</v>
      </c>
      <c r="R343" s="160">
        <v>12</v>
      </c>
      <c r="S343" s="167" t="s">
        <v>12</v>
      </c>
    </row>
    <row r="344" spans="1:25" ht="30" x14ac:dyDescent="0.25">
      <c r="A344" s="240"/>
      <c r="B344" s="114">
        <v>1</v>
      </c>
      <c r="C344" s="206">
        <f>F340</f>
        <v>6.3279999999999994</v>
      </c>
      <c r="D344" s="215">
        <v>0</v>
      </c>
      <c r="E344" s="161" t="s">
        <v>20</v>
      </c>
      <c r="F344" s="127" t="s">
        <v>126</v>
      </c>
      <c r="G344" s="161" t="s">
        <v>20</v>
      </c>
      <c r="H344" s="134" t="s">
        <v>173</v>
      </c>
      <c r="I344" s="127" t="s">
        <v>126</v>
      </c>
      <c r="J344" s="127">
        <v>0</v>
      </c>
      <c r="K344" s="208">
        <f>2077.94*$K$1</f>
        <v>2090.4076399999999</v>
      </c>
      <c r="L344" s="31">
        <f t="shared" ref="L344:L349" si="70">K344*$L$341</f>
        <v>2613.0095499999998</v>
      </c>
      <c r="N344" s="116" t="s">
        <v>56</v>
      </c>
      <c r="O344" s="116" t="s">
        <v>57</v>
      </c>
      <c r="P344" s="116" t="s">
        <v>58</v>
      </c>
      <c r="Q344" s="116" t="s">
        <v>96</v>
      </c>
      <c r="R344" s="116" t="s">
        <v>99</v>
      </c>
      <c r="S344" s="142" t="s">
        <v>184</v>
      </c>
      <c r="T344" s="314" t="s">
        <v>59</v>
      </c>
      <c r="U344" s="315"/>
      <c r="V344" s="315"/>
      <c r="W344" s="315"/>
      <c r="X344" s="315"/>
      <c r="Y344" s="316"/>
    </row>
    <row r="345" spans="1:25" x14ac:dyDescent="0.25">
      <c r="A345" s="240"/>
      <c r="B345" s="114">
        <v>2</v>
      </c>
      <c r="C345" s="117">
        <f>ROUND($C$344*(1-D345),2)</f>
        <v>5.82</v>
      </c>
      <c r="D345" s="179">
        <v>8.0555555555555547E-2</v>
      </c>
      <c r="E345" s="6" t="s">
        <v>156</v>
      </c>
      <c r="F345" s="4">
        <v>344.05871046320942</v>
      </c>
      <c r="G345" s="6" t="s">
        <v>30</v>
      </c>
      <c r="H345" s="154" t="s">
        <v>177</v>
      </c>
      <c r="I345" s="229">
        <f>(F12*1.05^((LOG(5.4/4.75)/LOG(1.02)))-F12)*$K$1</f>
        <v>121.69710152976245</v>
      </c>
      <c r="J345" s="1">
        <f>J344+I345</f>
        <v>121.69710152976245</v>
      </c>
      <c r="K345" s="4">
        <f>$K$344+J345</f>
        <v>2212.1047415297626</v>
      </c>
      <c r="L345" s="4">
        <f t="shared" si="70"/>
        <v>2765.130926912203</v>
      </c>
      <c r="N345" s="118" t="s">
        <v>61</v>
      </c>
      <c r="O345" s="119">
        <v>0</v>
      </c>
      <c r="P345" s="14">
        <f>J344</f>
        <v>0</v>
      </c>
      <c r="Q345" s="14">
        <f>L344</f>
        <v>2613.0095499999998</v>
      </c>
      <c r="R345" s="19">
        <f t="shared" ref="R345:R350" si="71">IF($Q$343=$R$343,$R$343,IF(RIGHT(N345)&gt;=RIGHT($R$340),$R$343,$Q$343))</f>
        <v>12</v>
      </c>
      <c r="S345" s="19" t="s">
        <v>173</v>
      </c>
      <c r="T345" s="6"/>
      <c r="U345" s="6"/>
      <c r="V345" s="6"/>
      <c r="W345" s="6"/>
      <c r="X345" s="6"/>
      <c r="Y345" s="6"/>
    </row>
    <row r="346" spans="1:25" x14ac:dyDescent="0.25">
      <c r="A346" s="240"/>
      <c r="B346" s="114">
        <v>3</v>
      </c>
      <c r="C346" s="117">
        <f>ROUND($C$344*(1-D346),2)</f>
        <v>5.52</v>
      </c>
      <c r="D346" s="179">
        <v>0.1271968736797634</v>
      </c>
      <c r="E346" s="6" t="s">
        <v>148</v>
      </c>
      <c r="F346" s="4">
        <v>17.57</v>
      </c>
      <c r="G346" s="6" t="s">
        <v>32</v>
      </c>
      <c r="H346" s="154" t="s">
        <v>177</v>
      </c>
      <c r="I346" s="4">
        <f>21.5*$K$1</f>
        <v>21.629000000000001</v>
      </c>
      <c r="J346" s="1">
        <f>J345+I346</f>
        <v>143.32610152976244</v>
      </c>
      <c r="K346" s="4">
        <f>$K$344+J346</f>
        <v>2233.7337415297625</v>
      </c>
      <c r="L346" s="4">
        <f t="shared" si="70"/>
        <v>2792.1671769122031</v>
      </c>
      <c r="N346" s="118" t="s">
        <v>15</v>
      </c>
      <c r="O346" s="119">
        <v>0.1</v>
      </c>
      <c r="P346" s="14">
        <f>J345+(J346-J345)*(O346-D345)/(D346-D345)</f>
        <v>130.71408273447258</v>
      </c>
      <c r="Q346" s="14">
        <f>P346*$L$341</f>
        <v>163.39260341809074</v>
      </c>
      <c r="R346" s="19">
        <f t="shared" si="71"/>
        <v>12</v>
      </c>
      <c r="S346" s="19" t="s">
        <v>185</v>
      </c>
      <c r="T346" s="2"/>
      <c r="U346" s="2"/>
      <c r="V346" s="6"/>
      <c r="W346" s="6"/>
      <c r="X346" s="6"/>
      <c r="Y346" s="6"/>
    </row>
    <row r="347" spans="1:25" x14ac:dyDescent="0.25">
      <c r="A347" s="240"/>
      <c r="B347" s="114">
        <v>4</v>
      </c>
      <c r="C347" s="117">
        <f>ROUND($C$344*(1-D347),2)</f>
        <v>5.19</v>
      </c>
      <c r="D347" s="179">
        <v>0.17913834159081307</v>
      </c>
      <c r="E347" s="6" t="s">
        <v>149</v>
      </c>
      <c r="F347" s="4">
        <v>29.32</v>
      </c>
      <c r="G347" s="6" t="s">
        <v>32</v>
      </c>
      <c r="H347" s="154" t="s">
        <v>178</v>
      </c>
      <c r="I347" s="4">
        <f>18.28*$K$1</f>
        <v>18.389680000000002</v>
      </c>
      <c r="J347" s="1">
        <f>J346+I347</f>
        <v>161.71578152976244</v>
      </c>
      <c r="K347" s="4">
        <f>$K$344+J347</f>
        <v>2252.1234215297623</v>
      </c>
      <c r="L347" s="4">
        <f t="shared" si="70"/>
        <v>2815.1542769122029</v>
      </c>
      <c r="N347" s="118" t="s">
        <v>2</v>
      </c>
      <c r="O347" s="119">
        <v>0.15</v>
      </c>
      <c r="P347" s="177">
        <f>U347-Y347*(W347/X347)</f>
        <v>117.69582920579731</v>
      </c>
      <c r="Q347" s="14">
        <f>P347*$L$341</f>
        <v>147.11978650724663</v>
      </c>
      <c r="R347" s="19">
        <f t="shared" si="71"/>
        <v>12</v>
      </c>
      <c r="S347" s="19" t="s">
        <v>186</v>
      </c>
      <c r="T347" s="157">
        <f>D347</f>
        <v>0.17913834159081307</v>
      </c>
      <c r="U347" s="4">
        <f>J347</f>
        <v>161.71578152976244</v>
      </c>
      <c r="V347" s="157"/>
      <c r="W347" s="162">
        <f>T347-O347</f>
        <v>2.9138341590813077E-2</v>
      </c>
      <c r="X347" s="162">
        <f>D345-D344</f>
        <v>8.0555555555555547E-2</v>
      </c>
      <c r="Y347" s="156">
        <f>I345</f>
        <v>121.69710152976245</v>
      </c>
    </row>
    <row r="348" spans="1:25" x14ac:dyDescent="0.25">
      <c r="A348" s="240"/>
      <c r="B348" s="114">
        <v>5</v>
      </c>
      <c r="C348" s="117">
        <f>ROUND($C$344*(1-D348),2)</f>
        <v>4.87</v>
      </c>
      <c r="D348" s="179">
        <v>0.23110078341290918</v>
      </c>
      <c r="E348" s="6" t="s">
        <v>157</v>
      </c>
      <c r="F348" s="4">
        <v>46.24</v>
      </c>
      <c r="G348" s="6" t="s">
        <v>31</v>
      </c>
      <c r="H348" s="154" t="s">
        <v>177</v>
      </c>
      <c r="I348" s="4">
        <f>46.24*$K$1</f>
        <v>46.517440000000001</v>
      </c>
      <c r="J348" s="1">
        <f>J347+I348</f>
        <v>208.23322152976243</v>
      </c>
      <c r="K348" s="4">
        <f>$K$344+J348</f>
        <v>2298.6408615297623</v>
      </c>
      <c r="L348" s="4">
        <f t="shared" si="70"/>
        <v>2873.3010769122029</v>
      </c>
      <c r="N348" s="118" t="s">
        <v>3</v>
      </c>
      <c r="O348" s="119">
        <v>0.2</v>
      </c>
      <c r="P348" s="14">
        <f>J347+(J348-J347)*(O348-D347)/(D348-D347)</f>
        <v>180.39140394705211</v>
      </c>
      <c r="Q348" s="14">
        <f>P348*$L$341</f>
        <v>225.48925493381515</v>
      </c>
      <c r="R348" s="19">
        <f t="shared" si="71"/>
        <v>12</v>
      </c>
      <c r="S348" s="19" t="s">
        <v>185</v>
      </c>
      <c r="T348" s="155"/>
      <c r="U348" s="1"/>
      <c r="V348" s="6"/>
      <c r="W348" s="175"/>
      <c r="X348" s="175"/>
      <c r="Y348" s="1"/>
    </row>
    <row r="349" spans="1:25" x14ac:dyDescent="0.25">
      <c r="A349" s="240"/>
      <c r="B349" s="114">
        <v>6</v>
      </c>
      <c r="C349" s="117">
        <f>ROUND($C$344*(1-D349),2)</f>
        <v>4.6500000000000004</v>
      </c>
      <c r="D349" s="179">
        <v>0.26576745007957586</v>
      </c>
      <c r="E349" s="6" t="s">
        <v>150</v>
      </c>
      <c r="F349" s="4">
        <v>400.96</v>
      </c>
      <c r="G349" s="6" t="s">
        <v>151</v>
      </c>
      <c r="H349" s="154" t="s">
        <v>178</v>
      </c>
      <c r="I349" s="4">
        <f>400.96*$K$1</f>
        <v>403.36575999999997</v>
      </c>
      <c r="J349" s="1">
        <f>J348+I349</f>
        <v>611.59898152976234</v>
      </c>
      <c r="K349" s="4">
        <f>$K$344+J349</f>
        <v>2702.006621529762</v>
      </c>
      <c r="L349" s="4">
        <f t="shared" si="70"/>
        <v>3377.5082769122027</v>
      </c>
      <c r="N349" s="118" t="s">
        <v>4</v>
      </c>
      <c r="O349" s="119">
        <v>0.25</v>
      </c>
      <c r="P349" s="177">
        <f>U349-Y349*(W349/X349)</f>
        <v>597.48375931713383</v>
      </c>
      <c r="Q349" s="14">
        <f>P349*$L$341</f>
        <v>746.85469914641726</v>
      </c>
      <c r="R349" s="19">
        <f t="shared" si="71"/>
        <v>12</v>
      </c>
      <c r="S349" s="19" t="s">
        <v>186</v>
      </c>
      <c r="T349" s="157">
        <f>D349</f>
        <v>0.26576745007957586</v>
      </c>
      <c r="U349" s="4">
        <f>J349</f>
        <v>611.59898152976234</v>
      </c>
      <c r="V349" s="157"/>
      <c r="W349" s="162">
        <f>T349-O349</f>
        <v>1.5767450079575862E-2</v>
      </c>
      <c r="X349" s="162">
        <f>D348-D347</f>
        <v>5.1962441822096112E-2</v>
      </c>
      <c r="Y349" s="156">
        <f>I348</f>
        <v>46.517440000000001</v>
      </c>
    </row>
    <row r="350" spans="1:25" x14ac:dyDescent="0.25">
      <c r="A350" s="240"/>
      <c r="B350" s="114">
        <v>7</v>
      </c>
      <c r="C350" s="117"/>
      <c r="D350" s="162"/>
      <c r="E350" s="6"/>
      <c r="F350" s="1"/>
      <c r="G350" s="6"/>
      <c r="H350" s="6"/>
      <c r="I350" s="1"/>
      <c r="J350" s="1"/>
      <c r="K350" s="4"/>
      <c r="L350" s="2"/>
      <c r="N350" s="118" t="s">
        <v>5</v>
      </c>
      <c r="O350" s="119">
        <f>D349</f>
        <v>0.26576745007957586</v>
      </c>
      <c r="P350" s="14">
        <f>J349</f>
        <v>611.59898152976234</v>
      </c>
      <c r="Q350" s="14">
        <f>P350*$L$341</f>
        <v>764.49872691220298</v>
      </c>
      <c r="R350" s="19">
        <f t="shared" si="71"/>
        <v>12</v>
      </c>
      <c r="S350" s="19" t="s">
        <v>132</v>
      </c>
      <c r="T350" s="121"/>
      <c r="U350" s="13"/>
      <c r="V350" s="114"/>
      <c r="W350" s="121"/>
      <c r="X350" s="121"/>
      <c r="Y350" s="13"/>
    </row>
    <row r="351" spans="1:25" x14ac:dyDescent="0.25">
      <c r="A351" s="240"/>
      <c r="B351" s="114">
        <v>8</v>
      </c>
      <c r="C351" s="6"/>
      <c r="D351" s="6"/>
      <c r="E351" s="6"/>
      <c r="F351" s="6"/>
      <c r="G351" s="6"/>
      <c r="H351" s="6"/>
      <c r="I351" s="6"/>
      <c r="J351" s="6"/>
      <c r="K351" s="4"/>
      <c r="L351" s="6"/>
      <c r="N351" s="118" t="s">
        <v>62</v>
      </c>
      <c r="O351" s="123"/>
      <c r="P351" s="15"/>
      <c r="Q351" s="15"/>
      <c r="R351" s="19"/>
      <c r="S351" s="19"/>
      <c r="T351" s="121"/>
      <c r="U351" s="121"/>
      <c r="V351" s="13"/>
      <c r="W351" s="114"/>
      <c r="X351" s="114"/>
      <c r="Y351" s="114"/>
    </row>
    <row r="352" spans="1:25" x14ac:dyDescent="0.25">
      <c r="A352" s="240"/>
      <c r="B352" s="114">
        <v>9</v>
      </c>
      <c r="C352" s="6"/>
      <c r="D352" s="6"/>
      <c r="E352" s="6"/>
      <c r="F352" s="6"/>
      <c r="G352" s="6"/>
      <c r="H352" s="6"/>
      <c r="I352" s="6"/>
      <c r="J352" s="6"/>
      <c r="K352" s="4"/>
      <c r="L352" s="6"/>
    </row>
    <row r="353" spans="1:25" ht="19.5" thickBot="1" x14ac:dyDescent="0.35">
      <c r="A353" s="240"/>
      <c r="B353" s="114">
        <v>10</v>
      </c>
      <c r="C353" s="6"/>
      <c r="D353" s="6"/>
      <c r="E353" s="6"/>
      <c r="F353" s="6"/>
      <c r="G353" s="6"/>
      <c r="H353" s="6"/>
      <c r="I353" s="6"/>
      <c r="J353" s="6"/>
      <c r="K353" s="4"/>
      <c r="L353" s="6"/>
      <c r="N353" s="131" t="s">
        <v>188</v>
      </c>
      <c r="O353" s="129"/>
      <c r="P353" s="129"/>
      <c r="Q353" s="129"/>
      <c r="R353" s="129"/>
      <c r="S353" s="129"/>
      <c r="T353" s="129"/>
      <c r="U353" s="129"/>
      <c r="V353" s="129"/>
    </row>
    <row r="354" spans="1:25" ht="15.75" customHeight="1" thickBot="1" x14ac:dyDescent="0.3">
      <c r="A354" s="240"/>
      <c r="B354" s="7"/>
      <c r="K354" s="3"/>
      <c r="N354" s="313" t="s">
        <v>61</v>
      </c>
      <c r="O354" s="313" t="s">
        <v>15</v>
      </c>
      <c r="P354" s="313" t="s">
        <v>2</v>
      </c>
      <c r="Q354" s="313" t="s">
        <v>3</v>
      </c>
      <c r="R354" s="313" t="s">
        <v>4</v>
      </c>
      <c r="S354" s="313" t="s">
        <v>5</v>
      </c>
      <c r="T354" s="313" t="s">
        <v>62</v>
      </c>
      <c r="U354" s="313" t="s">
        <v>114</v>
      </c>
      <c r="V354" s="313"/>
    </row>
    <row r="355" spans="1:25" ht="15.75" customHeight="1" thickBot="1" x14ac:dyDescent="0.3">
      <c r="A355" s="240"/>
      <c r="B355" s="7"/>
      <c r="K355" s="3"/>
      <c r="N355" s="271"/>
      <c r="O355" s="271"/>
      <c r="P355" s="271"/>
      <c r="Q355" s="271"/>
      <c r="R355" s="271"/>
      <c r="S355" s="271"/>
      <c r="T355" s="271"/>
      <c r="U355" s="146" t="s">
        <v>115</v>
      </c>
      <c r="V355" s="146" t="s">
        <v>116</v>
      </c>
    </row>
    <row r="356" spans="1:25" ht="15.75" thickBot="1" x14ac:dyDescent="0.3">
      <c r="A356" s="240"/>
      <c r="B356" s="7"/>
      <c r="K356" s="3"/>
      <c r="N356" s="209">
        <f>P345</f>
        <v>0</v>
      </c>
      <c r="O356" s="213">
        <f>P346</f>
        <v>130.71408273447258</v>
      </c>
      <c r="P356" s="213">
        <f>P347</f>
        <v>117.69582920579731</v>
      </c>
      <c r="Q356" s="213">
        <f>P348</f>
        <v>180.39140394705211</v>
      </c>
      <c r="R356" s="213">
        <f>P349</f>
        <v>597.48375931713383</v>
      </c>
      <c r="S356" s="221">
        <f>P350</f>
        <v>611.59898152976234</v>
      </c>
      <c r="T356" s="221">
        <f>P351</f>
        <v>0</v>
      </c>
      <c r="U356" s="214">
        <f>MAX(O344:O351)</f>
        <v>0.26576745007957586</v>
      </c>
      <c r="V356" s="213">
        <f>MAX(N356:T356)</f>
        <v>611.59898152976234</v>
      </c>
    </row>
    <row r="357" spans="1:25" x14ac:dyDescent="0.25">
      <c r="A357" s="240"/>
      <c r="B357" s="7"/>
      <c r="K357" s="3"/>
    </row>
    <row r="358" spans="1:25" s="196" customFormat="1" x14ac:dyDescent="0.25">
      <c r="A358" s="242"/>
      <c r="B358" s="210"/>
      <c r="K358" s="211"/>
      <c r="O358" s="198"/>
      <c r="P358" s="199"/>
    </row>
    <row r="359" spans="1:25" s="196" customFormat="1" x14ac:dyDescent="0.25">
      <c r="A359" s="242"/>
      <c r="B359" s="210"/>
      <c r="K359" s="211"/>
      <c r="O359" s="198"/>
      <c r="P359" s="199"/>
    </row>
    <row r="360" spans="1:25" x14ac:dyDescent="0.25">
      <c r="A360" s="240"/>
      <c r="B360" s="7"/>
      <c r="K360" s="3"/>
      <c r="O360" s="25"/>
      <c r="P360" s="23"/>
    </row>
    <row r="361" spans="1:25" ht="19.5" thickBot="1" x14ac:dyDescent="0.35">
      <c r="A361" s="240"/>
      <c r="B361" s="131" t="s">
        <v>190</v>
      </c>
      <c r="R361" s="130" t="s">
        <v>181</v>
      </c>
    </row>
    <row r="362" spans="1:25" ht="15.75" thickBot="1" x14ac:dyDescent="0.3">
      <c r="A362" s="240"/>
      <c r="E362" s="97" t="s">
        <v>54</v>
      </c>
      <c r="F362" s="29">
        <f>10.26-0.0086*P365</f>
        <v>7.68</v>
      </c>
      <c r="H362" t="s">
        <v>175</v>
      </c>
      <c r="I362" s="99" t="s">
        <v>60</v>
      </c>
      <c r="L362" s="129" t="s">
        <v>180</v>
      </c>
      <c r="R362" s="138" t="s">
        <v>173</v>
      </c>
    </row>
    <row r="363" spans="1:25" ht="19.5" customHeight="1" thickBot="1" x14ac:dyDescent="0.35">
      <c r="A363" s="240"/>
      <c r="B363" s="304" t="s">
        <v>198</v>
      </c>
      <c r="C363" s="305"/>
      <c r="D363" s="303" t="s">
        <v>72</v>
      </c>
      <c r="E363" s="303"/>
      <c r="F363" s="303"/>
      <c r="G363" s="303"/>
      <c r="H363" s="303"/>
      <c r="I363" s="303"/>
      <c r="J363" s="303"/>
      <c r="K363" s="303"/>
      <c r="L363" s="100">
        <v>1.25</v>
      </c>
      <c r="N363" s="131" t="s">
        <v>189</v>
      </c>
      <c r="Q363" s="137" t="s">
        <v>182</v>
      </c>
      <c r="R363" s="137" t="s">
        <v>183</v>
      </c>
    </row>
    <row r="364" spans="1:25" ht="30.75" thickBot="1" x14ac:dyDescent="0.3">
      <c r="A364" s="240"/>
      <c r="B364" s="299" t="s">
        <v>53</v>
      </c>
      <c r="C364" s="299" t="s">
        <v>17</v>
      </c>
      <c r="D364" s="299" t="s">
        <v>18</v>
      </c>
      <c r="E364" s="299" t="s">
        <v>19</v>
      </c>
      <c r="F364" s="307" t="s">
        <v>28</v>
      </c>
      <c r="G364" s="308"/>
      <c r="H364" s="309"/>
      <c r="I364" s="301" t="s">
        <v>26</v>
      </c>
      <c r="J364" s="302"/>
      <c r="K364" s="297" t="s">
        <v>52</v>
      </c>
      <c r="L364" s="297" t="s">
        <v>34</v>
      </c>
      <c r="N364" s="102" t="s">
        <v>6</v>
      </c>
      <c r="O364" s="103" t="s">
        <v>0</v>
      </c>
      <c r="P364" s="104" t="s">
        <v>55</v>
      </c>
      <c r="Q364" s="101" t="s">
        <v>97</v>
      </c>
      <c r="R364" s="101" t="s">
        <v>98</v>
      </c>
      <c r="S364" s="105" t="s">
        <v>1</v>
      </c>
    </row>
    <row r="365" spans="1:25" ht="25.5" x14ac:dyDescent="0.25">
      <c r="A365" s="240"/>
      <c r="B365" s="300"/>
      <c r="C365" s="300"/>
      <c r="D365" s="300"/>
      <c r="E365" s="300"/>
      <c r="F365" s="106" t="s">
        <v>27</v>
      </c>
      <c r="G365" s="106" t="s">
        <v>29</v>
      </c>
      <c r="H365" s="128" t="s">
        <v>176</v>
      </c>
      <c r="I365" s="106" t="s">
        <v>25</v>
      </c>
      <c r="J365" s="107" t="s">
        <v>24</v>
      </c>
      <c r="K365" s="298"/>
      <c r="L365" s="298"/>
      <c r="N365" s="108" t="s">
        <v>9</v>
      </c>
      <c r="O365" s="109">
        <v>0.16643119525289618</v>
      </c>
      <c r="P365" s="110">
        <v>300</v>
      </c>
      <c r="Q365" s="111">
        <v>18.5</v>
      </c>
      <c r="R365" s="160">
        <v>18.5</v>
      </c>
      <c r="S365" s="167" t="s">
        <v>12</v>
      </c>
    </row>
    <row r="366" spans="1:25" ht="30" x14ac:dyDescent="0.25">
      <c r="A366" s="240"/>
      <c r="B366" s="114">
        <v>1</v>
      </c>
      <c r="C366" s="206">
        <f>F362</f>
        <v>7.68</v>
      </c>
      <c r="D366" s="215">
        <v>0</v>
      </c>
      <c r="E366" s="161" t="s">
        <v>20</v>
      </c>
      <c r="F366" s="127">
        <v>0</v>
      </c>
      <c r="G366" s="161" t="s">
        <v>20</v>
      </c>
      <c r="H366" s="134" t="s">
        <v>173</v>
      </c>
      <c r="I366" s="127"/>
      <c r="J366" s="127">
        <v>0</v>
      </c>
      <c r="K366" s="127">
        <f>910.07*$K$1</f>
        <v>915.53042000000005</v>
      </c>
      <c r="L366" s="207">
        <f t="shared" ref="L366:L373" si="72">K366*$L$363</f>
        <v>1144.4130250000001</v>
      </c>
      <c r="N366" s="116" t="s">
        <v>56</v>
      </c>
      <c r="O366" s="116" t="s">
        <v>57</v>
      </c>
      <c r="P366" s="116" t="s">
        <v>58</v>
      </c>
      <c r="Q366" s="116" t="s">
        <v>96</v>
      </c>
      <c r="R366" s="116" t="s">
        <v>99</v>
      </c>
      <c r="S366" s="142" t="s">
        <v>184</v>
      </c>
      <c r="T366" s="314" t="s">
        <v>59</v>
      </c>
      <c r="U366" s="315"/>
      <c r="V366" s="315"/>
      <c r="W366" s="315"/>
      <c r="X366" s="315"/>
      <c r="Y366" s="316"/>
    </row>
    <row r="367" spans="1:25" x14ac:dyDescent="0.25">
      <c r="A367" s="241">
        <v>1.4925373134328374E-2</v>
      </c>
      <c r="B367" s="114">
        <v>2</v>
      </c>
      <c r="C367" s="117">
        <f t="shared" ref="C367:C370" si="73">ROUND($C$366*(1-D367),2)</f>
        <v>7.57</v>
      </c>
      <c r="D367" s="179">
        <f>A367+D366</f>
        <v>1.4925373134328374E-2</v>
      </c>
      <c r="E367" s="6" t="s">
        <v>159</v>
      </c>
      <c r="F367" s="4">
        <v>57.38</v>
      </c>
      <c r="G367" s="6" t="s">
        <v>31</v>
      </c>
      <c r="H367" s="154" t="s">
        <v>177</v>
      </c>
      <c r="I367" s="4">
        <f>4.17*$K$1</f>
        <v>4.1950199999999995</v>
      </c>
      <c r="J367" s="1">
        <f t="shared" ref="J367" si="74">J366+I367</f>
        <v>4.1950199999999995</v>
      </c>
      <c r="K367" s="4">
        <f t="shared" ref="K367" si="75">$K$366+J367</f>
        <v>919.72544000000005</v>
      </c>
      <c r="L367" s="2">
        <f>K367*$L$363</f>
        <v>1149.6568</v>
      </c>
      <c r="N367" s="118" t="s">
        <v>61</v>
      </c>
      <c r="O367" s="119">
        <v>0</v>
      </c>
      <c r="P367" s="14">
        <f>J366</f>
        <v>0</v>
      </c>
      <c r="Q367" s="14">
        <f>L366</f>
        <v>1144.4130250000001</v>
      </c>
      <c r="R367" s="19">
        <f>IF($Q$365=$R$365,$R$365,IF(RIGHT(N367)&gt;=RIGHT($R$362),$R$365,$Q$365))</f>
        <v>18.5</v>
      </c>
      <c r="S367" s="19" t="s">
        <v>173</v>
      </c>
      <c r="T367" s="6"/>
      <c r="U367" s="6"/>
      <c r="V367" s="6"/>
      <c r="W367" s="6"/>
      <c r="X367" s="6"/>
      <c r="Y367" s="6"/>
    </row>
    <row r="368" spans="1:25" x14ac:dyDescent="0.25">
      <c r="A368" s="241">
        <v>3.7854251012145741E-2</v>
      </c>
      <c r="B368" s="114">
        <v>3</v>
      </c>
      <c r="C368" s="117">
        <f t="shared" si="73"/>
        <v>7.27</v>
      </c>
      <c r="D368" s="179">
        <f t="shared" ref="D368:D371" si="76">A368+D367</f>
        <v>5.2779624146474115E-2</v>
      </c>
      <c r="E368" s="6" t="s">
        <v>124</v>
      </c>
      <c r="F368" s="4">
        <v>325.52</v>
      </c>
      <c r="G368" s="6" t="s">
        <v>30</v>
      </c>
      <c r="H368" s="154" t="s">
        <v>177</v>
      </c>
      <c r="I368" s="229">
        <f>(F12*1.05^((LOG(5.2/4.86)/LOG(1.02)))-F12)*$K$1</f>
        <v>59.366478876447665</v>
      </c>
      <c r="J368" s="1">
        <f>J367+I368</f>
        <v>63.561498876447665</v>
      </c>
      <c r="K368" s="4">
        <f>$K$366+J368</f>
        <v>979.09191887644772</v>
      </c>
      <c r="L368" s="2">
        <f t="shared" si="72"/>
        <v>1223.8648985955597</v>
      </c>
      <c r="N368" s="118" t="s">
        <v>15</v>
      </c>
      <c r="O368" s="119">
        <v>0.1</v>
      </c>
      <c r="P368" s="236">
        <f>J370+(J371-J370)*(O368-D370)/(D371-D370)</f>
        <v>101.36852645315787</v>
      </c>
      <c r="Q368" s="14">
        <f>P368*$L$363</f>
        <v>126.71065806644734</v>
      </c>
      <c r="R368" s="19">
        <f>IF($Q$365=$R$365,$R$365,IF(RIGHT(N368)&gt;=RIGHT($R$362),$R$365,$Q$365))</f>
        <v>18.5</v>
      </c>
      <c r="S368" s="19" t="s">
        <v>185</v>
      </c>
      <c r="T368" s="2"/>
      <c r="U368" s="2"/>
      <c r="V368" s="6"/>
      <c r="W368" s="6"/>
      <c r="X368" s="6"/>
      <c r="Y368" s="6"/>
    </row>
    <row r="369" spans="1:25" x14ac:dyDescent="0.25">
      <c r="A369" s="241">
        <v>1.7474879860200958E-2</v>
      </c>
      <c r="B369" s="114">
        <v>4</v>
      </c>
      <c r="C369" s="117">
        <f t="shared" si="73"/>
        <v>7.14</v>
      </c>
      <c r="D369" s="179">
        <f t="shared" si="76"/>
        <v>7.0254504006675073E-2</v>
      </c>
      <c r="E369" s="6" t="s">
        <v>47</v>
      </c>
      <c r="F369" s="4">
        <v>18.02</v>
      </c>
      <c r="G369" s="6" t="s">
        <v>32</v>
      </c>
      <c r="H369" s="154" t="s">
        <v>177</v>
      </c>
      <c r="I369" s="4">
        <f>12.08*$K$1</f>
        <v>12.152480000000001</v>
      </c>
      <c r="J369" s="1">
        <f t="shared" ref="J369:J373" si="77">J368+I369</f>
        <v>75.713978876447669</v>
      </c>
      <c r="K369" s="4">
        <f t="shared" ref="K369:K373" si="78">$K$366+J369</f>
        <v>991.24439887644769</v>
      </c>
      <c r="L369" s="2">
        <f t="shared" si="72"/>
        <v>1239.0554985955596</v>
      </c>
      <c r="N369" s="118" t="s">
        <v>2</v>
      </c>
      <c r="O369" s="119"/>
      <c r="P369" s="177"/>
      <c r="Q369" s="14"/>
      <c r="R369" s="19"/>
      <c r="S369" s="19"/>
      <c r="T369" s="237">
        <f>D371</f>
        <v>0.10202701284340411</v>
      </c>
      <c r="U369" s="229">
        <f>J371</f>
        <v>104.89803887644767</v>
      </c>
      <c r="V369" s="237"/>
      <c r="W369" s="238">
        <f>T369-O369</f>
        <v>0.10202701284340411</v>
      </c>
      <c r="X369" s="238">
        <f>D371-D370</f>
        <v>1.2311847174232504E-2</v>
      </c>
      <c r="Y369" s="239">
        <f>I371</f>
        <v>21.437860000000001</v>
      </c>
    </row>
    <row r="370" spans="1:25" x14ac:dyDescent="0.25">
      <c r="A370" s="241">
        <v>1.9460661662496534E-2</v>
      </c>
      <c r="B370" s="114">
        <v>5</v>
      </c>
      <c r="C370" s="117">
        <f t="shared" si="73"/>
        <v>6.99</v>
      </c>
      <c r="D370" s="179">
        <f t="shared" si="76"/>
        <v>8.9715165669171607E-2</v>
      </c>
      <c r="E370" s="6" t="s">
        <v>48</v>
      </c>
      <c r="F370" s="4">
        <v>30.11</v>
      </c>
      <c r="G370" s="6" t="s">
        <v>32</v>
      </c>
      <c r="H370" s="154" t="s">
        <v>178</v>
      </c>
      <c r="I370" s="4">
        <f>7.7*$K$1</f>
        <v>7.7462</v>
      </c>
      <c r="J370" s="1">
        <f t="shared" si="77"/>
        <v>83.460178876447671</v>
      </c>
      <c r="K370" s="4">
        <f t="shared" si="78"/>
        <v>998.99059887644773</v>
      </c>
      <c r="L370" s="2">
        <f t="shared" si="72"/>
        <v>1248.7382485955598</v>
      </c>
      <c r="N370" s="118" t="s">
        <v>3</v>
      </c>
      <c r="O370" s="119"/>
      <c r="P370" s="14"/>
      <c r="Q370" s="14"/>
      <c r="R370" s="19"/>
      <c r="S370" s="19"/>
      <c r="T370" s="121"/>
      <c r="U370" s="13"/>
      <c r="V370" s="114"/>
      <c r="W370" s="121"/>
      <c r="X370" s="121"/>
      <c r="Y370" s="13"/>
    </row>
    <row r="371" spans="1:25" x14ac:dyDescent="0.25">
      <c r="A371" s="241">
        <v>1.2311847174232504E-2</v>
      </c>
      <c r="B371" s="114">
        <v>6</v>
      </c>
      <c r="C371" s="117">
        <f>ROUND($C$366*(1-D371),2)</f>
        <v>6.9</v>
      </c>
      <c r="D371" s="179">
        <f t="shared" si="76"/>
        <v>0.10202701284340411</v>
      </c>
      <c r="E371" s="6" t="s">
        <v>49</v>
      </c>
      <c r="F371" s="1">
        <v>14.35</v>
      </c>
      <c r="G371" s="6" t="s">
        <v>33</v>
      </c>
      <c r="H371" s="154" t="s">
        <v>178</v>
      </c>
      <c r="I371" s="1">
        <f>21.31*$K$1</f>
        <v>21.437860000000001</v>
      </c>
      <c r="J371" s="1">
        <f t="shared" si="77"/>
        <v>104.89803887644767</v>
      </c>
      <c r="K371" s="4">
        <f t="shared" si="78"/>
        <v>1020.4284588764477</v>
      </c>
      <c r="L371" s="2">
        <f t="shared" si="72"/>
        <v>1275.5355735955598</v>
      </c>
      <c r="N371" s="118" t="s">
        <v>4</v>
      </c>
      <c r="O371" s="119"/>
      <c r="P371" s="13"/>
      <c r="Q371" s="13"/>
      <c r="R371" s="19"/>
      <c r="S371" s="19"/>
      <c r="T371" s="121"/>
      <c r="U371" s="13"/>
      <c r="V371" s="114"/>
      <c r="W371" s="121"/>
      <c r="X371" s="121"/>
      <c r="Y371" s="13"/>
    </row>
    <row r="372" spans="1:25" x14ac:dyDescent="0.25">
      <c r="A372" s="241"/>
      <c r="B372" s="114">
        <v>7</v>
      </c>
      <c r="C372" s="117">
        <f>ROUND($C$366*(1-D372),2)</f>
        <v>7.68</v>
      </c>
      <c r="D372" s="179">
        <v>0</v>
      </c>
      <c r="E372" s="235" t="s">
        <v>50</v>
      </c>
      <c r="F372" s="4">
        <v>0</v>
      </c>
      <c r="G372" s="6" t="s">
        <v>50</v>
      </c>
      <c r="H372" s="154" t="s">
        <v>178</v>
      </c>
      <c r="I372" s="4">
        <v>0</v>
      </c>
      <c r="J372" s="1">
        <f t="shared" si="77"/>
        <v>104.89803887644767</v>
      </c>
      <c r="K372" s="4">
        <f t="shared" si="78"/>
        <v>1020.4284588764477</v>
      </c>
      <c r="L372" s="2">
        <f t="shared" si="72"/>
        <v>1275.5355735955598</v>
      </c>
      <c r="N372" s="118" t="s">
        <v>5</v>
      </c>
      <c r="O372" s="119"/>
      <c r="P372" s="13"/>
      <c r="Q372" s="13"/>
      <c r="R372" s="19"/>
      <c r="S372" s="19"/>
      <c r="T372" s="121"/>
      <c r="U372" s="13"/>
      <c r="V372" s="114"/>
      <c r="W372" s="121"/>
      <c r="X372" s="121"/>
      <c r="Y372" s="13"/>
    </row>
    <row r="373" spans="1:25" x14ac:dyDescent="0.25">
      <c r="A373" s="241"/>
      <c r="B373" s="114">
        <v>8</v>
      </c>
      <c r="C373" s="117">
        <f>ROUND($C$366*(1-D373),2)</f>
        <v>7.68</v>
      </c>
      <c r="D373" s="179">
        <v>0</v>
      </c>
      <c r="E373" s="235" t="s">
        <v>160</v>
      </c>
      <c r="F373" s="4">
        <v>87.77</v>
      </c>
      <c r="G373" s="6" t="s">
        <v>51</v>
      </c>
      <c r="H373" s="154" t="s">
        <v>177</v>
      </c>
      <c r="I373" s="4">
        <v>0</v>
      </c>
      <c r="J373" s="1">
        <f t="shared" si="77"/>
        <v>104.89803887644767</v>
      </c>
      <c r="K373" s="4">
        <f t="shared" si="78"/>
        <v>1020.4284588764477</v>
      </c>
      <c r="L373" s="2">
        <f t="shared" si="72"/>
        <v>1275.5355735955598</v>
      </c>
      <c r="N373" s="118" t="s">
        <v>62</v>
      </c>
      <c r="O373" s="123"/>
      <c r="P373" s="15"/>
      <c r="Q373" s="15"/>
      <c r="R373" s="19"/>
      <c r="S373" s="19"/>
      <c r="T373" s="121"/>
      <c r="U373" s="121"/>
      <c r="V373" s="13"/>
      <c r="W373" s="114"/>
      <c r="X373" s="114"/>
      <c r="Y373" s="114"/>
    </row>
    <row r="374" spans="1:25" x14ac:dyDescent="0.25">
      <c r="A374" s="240"/>
      <c r="B374" s="114">
        <v>9</v>
      </c>
      <c r="C374" s="6"/>
      <c r="D374" s="6"/>
      <c r="E374" s="6"/>
      <c r="F374" s="6"/>
      <c r="G374" s="6"/>
      <c r="H374" s="6"/>
      <c r="I374" s="6"/>
      <c r="J374" s="6"/>
      <c r="K374" s="4"/>
      <c r="L374" s="6"/>
    </row>
    <row r="375" spans="1:25" ht="19.5" thickBot="1" x14ac:dyDescent="0.35">
      <c r="A375" s="240"/>
      <c r="B375" s="114">
        <v>10</v>
      </c>
      <c r="C375" s="6"/>
      <c r="D375" s="6"/>
      <c r="E375" s="6"/>
      <c r="F375" s="6"/>
      <c r="G375" s="6"/>
      <c r="H375" s="6"/>
      <c r="I375" s="6"/>
      <c r="J375" s="6"/>
      <c r="K375" s="4"/>
      <c r="L375" s="6"/>
      <c r="N375" s="131" t="s">
        <v>188</v>
      </c>
      <c r="O375" s="129"/>
      <c r="P375" s="129"/>
      <c r="Q375" s="129"/>
      <c r="R375" s="129"/>
      <c r="S375" s="129"/>
      <c r="T375" s="129"/>
      <c r="U375" s="129"/>
      <c r="V375" s="129"/>
    </row>
    <row r="376" spans="1:25" ht="15.75" thickBot="1" x14ac:dyDescent="0.3">
      <c r="A376" s="240"/>
      <c r="B376" s="7"/>
      <c r="K376" s="3"/>
      <c r="N376" s="313" t="s">
        <v>61</v>
      </c>
      <c r="O376" s="313" t="s">
        <v>15</v>
      </c>
      <c r="P376" s="313" t="s">
        <v>2</v>
      </c>
      <c r="Q376" s="313" t="s">
        <v>3</v>
      </c>
      <c r="R376" s="313" t="s">
        <v>4</v>
      </c>
      <c r="S376" s="313" t="s">
        <v>5</v>
      </c>
      <c r="T376" s="313" t="s">
        <v>62</v>
      </c>
      <c r="U376" s="313" t="s">
        <v>114</v>
      </c>
      <c r="V376" s="313"/>
    </row>
    <row r="377" spans="1:25" ht="15.75" customHeight="1" thickBot="1" x14ac:dyDescent="0.3">
      <c r="A377" s="240"/>
      <c r="B377" s="7"/>
      <c r="K377" s="3"/>
      <c r="N377" s="271"/>
      <c r="O377" s="271"/>
      <c r="P377" s="271"/>
      <c r="Q377" s="271"/>
      <c r="R377" s="271"/>
      <c r="S377" s="271"/>
      <c r="T377" s="271"/>
      <c r="U377" s="146" t="s">
        <v>115</v>
      </c>
      <c r="V377" s="146" t="s">
        <v>116</v>
      </c>
    </row>
    <row r="378" spans="1:25" ht="15.75" thickBot="1" x14ac:dyDescent="0.3">
      <c r="A378" s="240"/>
      <c r="B378" s="7"/>
      <c r="K378" s="3"/>
      <c r="N378" s="209">
        <f>P367</f>
        <v>0</v>
      </c>
      <c r="O378" s="213">
        <f>P368</f>
        <v>101.36852645315787</v>
      </c>
      <c r="P378" s="213">
        <f>P369</f>
        <v>0</v>
      </c>
      <c r="Q378" s="221">
        <f>P370</f>
        <v>0</v>
      </c>
      <c r="R378" s="221">
        <f>P371</f>
        <v>0</v>
      </c>
      <c r="S378" s="221">
        <f>P372</f>
        <v>0</v>
      </c>
      <c r="T378" s="221">
        <f>P373</f>
        <v>0</v>
      </c>
      <c r="U378" s="214">
        <f>MAX(O366:O373)</f>
        <v>0.1</v>
      </c>
      <c r="V378" s="213">
        <f>MAX(N378:T378)</f>
        <v>101.36852645315787</v>
      </c>
    </row>
    <row r="379" spans="1:25" x14ac:dyDescent="0.25">
      <c r="A379" s="240"/>
      <c r="B379" s="7"/>
      <c r="K379" s="3"/>
    </row>
    <row r="380" spans="1:25" s="196" customFormat="1" x14ac:dyDescent="0.25">
      <c r="A380" s="242"/>
      <c r="B380" s="210"/>
      <c r="K380" s="211"/>
    </row>
    <row r="381" spans="1:25" s="196" customFormat="1" x14ac:dyDescent="0.25">
      <c r="A381" s="242"/>
      <c r="B381" s="210"/>
      <c r="K381" s="211"/>
    </row>
    <row r="382" spans="1:25" x14ac:dyDescent="0.25">
      <c r="A382" s="240"/>
      <c r="B382" s="7"/>
      <c r="K382" s="3"/>
    </row>
    <row r="383" spans="1:25" ht="19.5" thickBot="1" x14ac:dyDescent="0.35">
      <c r="A383" s="240"/>
      <c r="B383" s="131" t="s">
        <v>190</v>
      </c>
      <c r="R383" s="130" t="s">
        <v>181</v>
      </c>
    </row>
    <row r="384" spans="1:25" ht="15.75" thickBot="1" x14ac:dyDescent="0.3">
      <c r="A384" s="240"/>
      <c r="E384" s="97" t="s">
        <v>54</v>
      </c>
      <c r="F384" s="98">
        <f>6.89-0.0011*P387</f>
        <v>6.01</v>
      </c>
      <c r="H384" t="s">
        <v>175</v>
      </c>
      <c r="I384" s="99" t="s">
        <v>63</v>
      </c>
      <c r="L384" s="129" t="s">
        <v>180</v>
      </c>
      <c r="R384" s="138" t="s">
        <v>173</v>
      </c>
    </row>
    <row r="385" spans="1:25" ht="19.5" customHeight="1" thickBot="1" x14ac:dyDescent="0.35">
      <c r="A385" s="240"/>
      <c r="B385" s="304" t="s">
        <v>196</v>
      </c>
      <c r="C385" s="305"/>
      <c r="D385" s="303" t="s">
        <v>72</v>
      </c>
      <c r="E385" s="303"/>
      <c r="F385" s="303"/>
      <c r="G385" s="303"/>
      <c r="H385" s="303"/>
      <c r="I385" s="303"/>
      <c r="J385" s="303"/>
      <c r="K385" s="303"/>
      <c r="L385" s="100">
        <v>1.25</v>
      </c>
      <c r="N385" s="131" t="s">
        <v>189</v>
      </c>
      <c r="Q385" s="137" t="s">
        <v>182</v>
      </c>
      <c r="R385" s="137" t="s">
        <v>183</v>
      </c>
    </row>
    <row r="386" spans="1:25" ht="30.75" thickBot="1" x14ac:dyDescent="0.3">
      <c r="A386" s="240"/>
      <c r="B386" s="299" t="s">
        <v>53</v>
      </c>
      <c r="C386" s="299" t="s">
        <v>17</v>
      </c>
      <c r="D386" s="299" t="s">
        <v>18</v>
      </c>
      <c r="E386" s="299" t="s">
        <v>19</v>
      </c>
      <c r="F386" s="307" t="s">
        <v>28</v>
      </c>
      <c r="G386" s="308"/>
      <c r="H386" s="309"/>
      <c r="I386" s="301" t="s">
        <v>26</v>
      </c>
      <c r="J386" s="302"/>
      <c r="K386" s="297" t="s">
        <v>52</v>
      </c>
      <c r="L386" s="297" t="s">
        <v>34</v>
      </c>
      <c r="N386" s="102" t="s">
        <v>11</v>
      </c>
      <c r="O386" s="103" t="s">
        <v>0</v>
      </c>
      <c r="P386" s="104" t="s">
        <v>55</v>
      </c>
      <c r="Q386" s="101" t="s">
        <v>97</v>
      </c>
      <c r="R386" s="101" t="s">
        <v>98</v>
      </c>
      <c r="S386" s="105" t="s">
        <v>1</v>
      </c>
    </row>
    <row r="387" spans="1:25" ht="26.25" thickBot="1" x14ac:dyDescent="0.3">
      <c r="A387" s="240"/>
      <c r="B387" s="300"/>
      <c r="C387" s="300"/>
      <c r="D387" s="300"/>
      <c r="E387" s="300"/>
      <c r="F387" s="106" t="s">
        <v>27</v>
      </c>
      <c r="G387" s="106" t="s">
        <v>29</v>
      </c>
      <c r="H387" s="128" t="s">
        <v>176</v>
      </c>
      <c r="I387" s="106" t="s">
        <v>25</v>
      </c>
      <c r="J387" s="107" t="s">
        <v>24</v>
      </c>
      <c r="K387" s="298"/>
      <c r="L387" s="298"/>
      <c r="N387" s="108" t="s">
        <v>9</v>
      </c>
      <c r="O387" s="109">
        <v>5.4638679698766117E-2</v>
      </c>
      <c r="P387" s="110">
        <v>800</v>
      </c>
      <c r="Q387" s="111">
        <v>18</v>
      </c>
      <c r="R387" s="160">
        <f>Q387</f>
        <v>18</v>
      </c>
      <c r="S387" s="67" t="s">
        <v>12</v>
      </c>
    </row>
    <row r="388" spans="1:25" ht="30" x14ac:dyDescent="0.25">
      <c r="A388" s="240"/>
      <c r="B388" s="114">
        <v>1</v>
      </c>
      <c r="C388" s="206">
        <f>F384</f>
        <v>6.01</v>
      </c>
      <c r="D388" s="121">
        <v>0</v>
      </c>
      <c r="E388" s="161" t="s">
        <v>20</v>
      </c>
      <c r="F388" s="127">
        <v>0</v>
      </c>
      <c r="G388" s="161" t="s">
        <v>20</v>
      </c>
      <c r="H388" s="134" t="s">
        <v>173</v>
      </c>
      <c r="I388" s="127">
        <v>0</v>
      </c>
      <c r="J388" s="127">
        <v>0</v>
      </c>
      <c r="K388" s="127">
        <f>1485.08*$K$1</f>
        <v>1493.9904799999999</v>
      </c>
      <c r="L388" s="207">
        <f t="shared" ref="L388:L394" si="79">K388*$L$385</f>
        <v>1867.4881</v>
      </c>
      <c r="N388" s="116" t="s">
        <v>56</v>
      </c>
      <c r="O388" s="116" t="s">
        <v>57</v>
      </c>
      <c r="P388" s="116" t="s">
        <v>58</v>
      </c>
      <c r="Q388" s="116" t="s">
        <v>96</v>
      </c>
      <c r="R388" s="116" t="s">
        <v>99</v>
      </c>
      <c r="S388" s="142" t="s">
        <v>184</v>
      </c>
      <c r="T388" s="314" t="s">
        <v>59</v>
      </c>
      <c r="U388" s="315"/>
      <c r="V388" s="315"/>
      <c r="W388" s="315"/>
      <c r="X388" s="315"/>
      <c r="Y388" s="316"/>
    </row>
    <row r="389" spans="1:25" x14ac:dyDescent="0.25">
      <c r="A389" s="240"/>
      <c r="B389" s="114">
        <v>2</v>
      </c>
      <c r="C389" s="117">
        <f t="shared" ref="C389:C394" si="80">ROUND($C$388*(1-D389),2)</f>
        <v>5.81</v>
      </c>
      <c r="D389" s="162">
        <v>3.2807017543859701E-2</v>
      </c>
      <c r="E389" s="6" t="s">
        <v>143</v>
      </c>
      <c r="F389" s="4">
        <v>417.45</v>
      </c>
      <c r="G389" s="6" t="s">
        <v>30</v>
      </c>
      <c r="H389" s="154" t="s">
        <v>177</v>
      </c>
      <c r="I389" s="229">
        <f>(F12*1.05^((LOG(6/5.66)/LOG(1.02)))-F12)*$K$1</f>
        <v>50.61772548044712</v>
      </c>
      <c r="J389" s="1">
        <f t="shared" ref="J389:J394" si="81">J388+I389</f>
        <v>50.61772548044712</v>
      </c>
      <c r="K389" s="4">
        <f t="shared" ref="K389:K394" si="82">$K$388+J389</f>
        <v>1544.6082054804469</v>
      </c>
      <c r="L389" s="2">
        <f t="shared" si="79"/>
        <v>1930.7602568505586</v>
      </c>
      <c r="N389" s="118" t="s">
        <v>61</v>
      </c>
      <c r="O389" s="119">
        <v>0</v>
      </c>
      <c r="P389" s="14">
        <f>J388</f>
        <v>0</v>
      </c>
      <c r="Q389" s="14">
        <f>L388</f>
        <v>1867.4881</v>
      </c>
      <c r="R389" s="19">
        <f>IF($Q$387=$R$387,$R$387,IF(RIGHT(N389)&gt;=RIGHT($R$387),$R$387,$Q$387))</f>
        <v>18</v>
      </c>
      <c r="S389" s="19" t="s">
        <v>173</v>
      </c>
      <c r="T389" s="6"/>
      <c r="U389" s="6"/>
      <c r="V389" s="6"/>
      <c r="W389" s="6"/>
      <c r="X389" s="6"/>
      <c r="Y389" s="6"/>
    </row>
    <row r="390" spans="1:25" x14ac:dyDescent="0.25">
      <c r="A390" s="240"/>
      <c r="B390" s="114">
        <v>3</v>
      </c>
      <c r="C390" s="117">
        <f t="shared" si="80"/>
        <v>5.65</v>
      </c>
      <c r="D390" s="162">
        <v>5.9756432167230603E-2</v>
      </c>
      <c r="E390" s="6" t="s">
        <v>47</v>
      </c>
      <c r="F390" s="4">
        <v>26.47</v>
      </c>
      <c r="G390" s="6" t="s">
        <v>32</v>
      </c>
      <c r="H390" s="154" t="s">
        <v>177</v>
      </c>
      <c r="I390" s="4">
        <f>18.15*$K$1</f>
        <v>18.258899999999997</v>
      </c>
      <c r="J390" s="1">
        <f t="shared" si="81"/>
        <v>68.876625480447117</v>
      </c>
      <c r="K390" s="4">
        <f t="shared" si="82"/>
        <v>1562.867105480447</v>
      </c>
      <c r="L390" s="2">
        <f t="shared" si="79"/>
        <v>1953.5838818505588</v>
      </c>
      <c r="N390" s="118" t="s">
        <v>15</v>
      </c>
      <c r="O390" s="119">
        <v>0.1</v>
      </c>
      <c r="P390" s="120">
        <f>U390-Y390*(W390/X390)</f>
        <v>90.185075196330502</v>
      </c>
      <c r="Q390" s="14">
        <f>P390*$L$385</f>
        <v>112.73134399541313</v>
      </c>
      <c r="R390" s="19">
        <f>IF($Q$387=$R$387,$R$387,IF(RIGHT(N390)&gt;=RIGHT($R$387),$R$387,$Q$387))</f>
        <v>18</v>
      </c>
      <c r="S390" s="19" t="s">
        <v>186</v>
      </c>
      <c r="T390" s="157">
        <f>D392</f>
        <v>0.11007284879844878</v>
      </c>
      <c r="U390" s="4">
        <f>J392</f>
        <v>105.72640548044711</v>
      </c>
      <c r="V390" s="6"/>
      <c r="W390" s="157">
        <f>T390-O390</f>
        <v>1.0072848798448775E-2</v>
      </c>
      <c r="X390" s="157">
        <f>D389-D388</f>
        <v>3.2807017543859701E-2</v>
      </c>
      <c r="Y390" s="1">
        <f>J389</f>
        <v>50.61772548044712</v>
      </c>
    </row>
    <row r="391" spans="1:25" x14ac:dyDescent="0.25">
      <c r="A391" s="240"/>
      <c r="B391" s="114">
        <v>4</v>
      </c>
      <c r="C391" s="117">
        <f t="shared" si="80"/>
        <v>5.47</v>
      </c>
      <c r="D391" s="162">
        <v>8.9768280270529993E-2</v>
      </c>
      <c r="E391" s="6" t="s">
        <v>48</v>
      </c>
      <c r="F391" s="4">
        <v>44.62</v>
      </c>
      <c r="G391" s="6" t="s">
        <v>32</v>
      </c>
      <c r="H391" s="154" t="s">
        <v>178</v>
      </c>
      <c r="I391" s="4">
        <f>6.63*$K$1</f>
        <v>6.6697800000000003</v>
      </c>
      <c r="J391" s="1">
        <f t="shared" si="81"/>
        <v>75.54640548044712</v>
      </c>
      <c r="K391" s="4">
        <f t="shared" si="82"/>
        <v>1569.5368854804472</v>
      </c>
      <c r="L391" s="2">
        <f t="shared" si="79"/>
        <v>1961.921106850559</v>
      </c>
      <c r="N391" s="118" t="s">
        <v>2</v>
      </c>
      <c r="O391" s="119">
        <v>0.15</v>
      </c>
      <c r="P391" s="120">
        <f>U391-Y391*(W391/X391)</f>
        <v>343.01426452149587</v>
      </c>
      <c r="Q391" s="14">
        <f>P391*$L$385</f>
        <v>428.76783065186987</v>
      </c>
      <c r="R391" s="19">
        <f>IF($Q$387=$R$387,$R$387,IF(RIGHT(N391)&gt;=RIGHT($R$387),$R$387,$Q$387))</f>
        <v>18</v>
      </c>
      <c r="S391" s="19" t="s">
        <v>186</v>
      </c>
      <c r="T391" s="157">
        <f>D394</f>
        <v>0.15575878126370496</v>
      </c>
      <c r="U391" s="4">
        <f>J394</f>
        <v>351.89944918415102</v>
      </c>
      <c r="V391" s="6"/>
      <c r="W391" s="157">
        <f>T391-O391</f>
        <v>5.7587812637049651E-3</v>
      </c>
      <c r="X391" s="157">
        <f>D389-D388</f>
        <v>3.2807017543859701E-2</v>
      </c>
      <c r="Y391" s="1">
        <f>J389</f>
        <v>50.61772548044712</v>
      </c>
    </row>
    <row r="392" spans="1:25" x14ac:dyDescent="0.25">
      <c r="A392" s="240"/>
      <c r="B392" s="114">
        <v>5</v>
      </c>
      <c r="C392" s="117">
        <f t="shared" si="80"/>
        <v>5.35</v>
      </c>
      <c r="D392" s="162">
        <v>0.11007284879844878</v>
      </c>
      <c r="E392" s="6" t="s">
        <v>64</v>
      </c>
      <c r="F392" s="4">
        <v>0</v>
      </c>
      <c r="G392" s="6" t="s">
        <v>65</v>
      </c>
      <c r="H392" s="154" t="s">
        <v>178</v>
      </c>
      <c r="I392" s="4">
        <f>30*$K$1</f>
        <v>30.18</v>
      </c>
      <c r="J392" s="1">
        <f t="shared" si="81"/>
        <v>105.72640548044711</v>
      </c>
      <c r="K392" s="4">
        <f t="shared" si="82"/>
        <v>1599.716885480447</v>
      </c>
      <c r="L392" s="2">
        <f t="shared" si="79"/>
        <v>1999.6461068505587</v>
      </c>
      <c r="N392" s="118" t="s">
        <v>3</v>
      </c>
      <c r="O392" s="123">
        <f>D394</f>
        <v>0.15575878126370496</v>
      </c>
      <c r="P392" s="122">
        <f>J394</f>
        <v>351.89944918415102</v>
      </c>
      <c r="Q392" s="14">
        <f>P392*$L$385</f>
        <v>439.87431148018879</v>
      </c>
      <c r="R392" s="19">
        <f>IF($Q$387=$R$387,$R$387,IF(RIGHT(N392)&gt;=RIGHT($R$387),$R$387,$Q$387))</f>
        <v>18</v>
      </c>
      <c r="S392" s="19" t="s">
        <v>132</v>
      </c>
      <c r="T392" s="121"/>
      <c r="U392" s="13"/>
      <c r="V392" s="114"/>
      <c r="W392" s="121"/>
      <c r="X392" s="121"/>
      <c r="Y392" s="13"/>
    </row>
    <row r="393" spans="1:25" x14ac:dyDescent="0.25">
      <c r="A393" s="240"/>
      <c r="B393" s="114">
        <v>6</v>
      </c>
      <c r="C393" s="117">
        <f t="shared" si="80"/>
        <v>5.28</v>
      </c>
      <c r="D393" s="162">
        <v>0.12221213429757524</v>
      </c>
      <c r="E393" s="6" t="s">
        <v>49</v>
      </c>
      <c r="F393" s="4">
        <v>17.57</v>
      </c>
      <c r="G393" s="6" t="s">
        <v>33</v>
      </c>
      <c r="H393" s="154" t="s">
        <v>178</v>
      </c>
      <c r="I393" s="4">
        <f>19.89*$K$1</f>
        <v>20.009340000000002</v>
      </c>
      <c r="J393" s="1">
        <f t="shared" si="81"/>
        <v>125.73574548044712</v>
      </c>
      <c r="K393" s="4">
        <f t="shared" si="82"/>
        <v>1619.7262254804471</v>
      </c>
      <c r="L393" s="2">
        <f t="shared" si="79"/>
        <v>2024.6577818505589</v>
      </c>
      <c r="N393" s="118" t="s">
        <v>4</v>
      </c>
      <c r="O393" s="119"/>
      <c r="P393" s="13"/>
      <c r="Q393" s="13"/>
      <c r="R393" s="19"/>
      <c r="S393" s="19"/>
      <c r="T393" s="121"/>
      <c r="U393" s="13"/>
      <c r="V393" s="114"/>
      <c r="W393" s="121"/>
      <c r="X393" s="121"/>
      <c r="Y393" s="13"/>
    </row>
    <row r="394" spans="1:25" x14ac:dyDescent="0.25">
      <c r="A394" s="240"/>
      <c r="B394" s="114">
        <v>7</v>
      </c>
      <c r="C394" s="117">
        <f t="shared" si="80"/>
        <v>5.07</v>
      </c>
      <c r="D394" s="162">
        <v>0.15575878126370496</v>
      </c>
      <c r="E394" s="6" t="s">
        <v>50</v>
      </c>
      <c r="F394" s="1">
        <v>0</v>
      </c>
      <c r="G394" s="6" t="s">
        <v>50</v>
      </c>
      <c r="H394" s="154" t="s">
        <v>178</v>
      </c>
      <c r="I394" s="1">
        <f>224.814814814815*$K$1</f>
        <v>226.1637037037039</v>
      </c>
      <c r="J394" s="1">
        <f t="shared" si="81"/>
        <v>351.89944918415102</v>
      </c>
      <c r="K394" s="4">
        <f t="shared" si="82"/>
        <v>1845.889929184151</v>
      </c>
      <c r="L394" s="2">
        <f t="shared" si="79"/>
        <v>2307.3624114801887</v>
      </c>
      <c r="N394" s="118" t="s">
        <v>5</v>
      </c>
      <c r="O394" s="119"/>
      <c r="P394" s="13"/>
      <c r="Q394" s="13"/>
      <c r="R394" s="19"/>
      <c r="S394" s="19"/>
      <c r="T394" s="121"/>
      <c r="U394" s="13"/>
      <c r="V394" s="114"/>
      <c r="W394" s="121"/>
      <c r="X394" s="121"/>
      <c r="Y394" s="13"/>
    </row>
    <row r="395" spans="1:25" x14ac:dyDescent="0.25">
      <c r="A395" s="240"/>
      <c r="B395" s="114">
        <v>8</v>
      </c>
      <c r="C395" s="6"/>
      <c r="D395" s="6"/>
      <c r="E395" s="6"/>
      <c r="F395" s="6"/>
      <c r="G395" s="6"/>
      <c r="H395" s="6"/>
      <c r="I395" s="6"/>
      <c r="J395" s="6"/>
      <c r="K395" s="4"/>
      <c r="L395" s="6"/>
      <c r="N395" s="118" t="s">
        <v>62</v>
      </c>
      <c r="O395" s="123"/>
      <c r="P395" s="15"/>
      <c r="Q395" s="15"/>
      <c r="R395" s="19"/>
      <c r="S395" s="19"/>
      <c r="T395" s="121"/>
      <c r="U395" s="121"/>
      <c r="V395" s="13"/>
      <c r="W395" s="114"/>
      <c r="X395" s="114"/>
      <c r="Y395" s="114"/>
    </row>
    <row r="396" spans="1:25" x14ac:dyDescent="0.25">
      <c r="A396" s="240"/>
      <c r="B396" s="114">
        <v>9</v>
      </c>
      <c r="C396" s="6"/>
      <c r="D396" s="6"/>
      <c r="E396" s="6"/>
      <c r="F396" s="6"/>
      <c r="G396" s="6"/>
      <c r="H396" s="6"/>
      <c r="I396" s="6"/>
      <c r="J396" s="6"/>
      <c r="K396" s="4"/>
      <c r="L396" s="6"/>
    </row>
    <row r="397" spans="1:25" ht="19.5" thickBot="1" x14ac:dyDescent="0.35">
      <c r="A397" s="240"/>
      <c r="B397" s="114">
        <v>10</v>
      </c>
      <c r="C397" s="6"/>
      <c r="D397" s="6"/>
      <c r="E397" s="6"/>
      <c r="F397" s="6"/>
      <c r="G397" s="6"/>
      <c r="H397" s="6"/>
      <c r="I397" s="6"/>
      <c r="J397" s="6"/>
      <c r="K397" s="4"/>
      <c r="L397" s="6"/>
      <c r="N397" s="131" t="s">
        <v>188</v>
      </c>
      <c r="O397" s="129"/>
      <c r="P397" s="129"/>
      <c r="Q397" s="129"/>
      <c r="R397" s="129"/>
      <c r="S397" s="129"/>
      <c r="T397" s="129"/>
      <c r="U397" s="129"/>
      <c r="V397" s="129"/>
    </row>
    <row r="398" spans="1:25" ht="15.75" thickBot="1" x14ac:dyDescent="0.3">
      <c r="A398" s="240"/>
      <c r="B398" s="7"/>
      <c r="K398" s="3"/>
      <c r="N398" s="313" t="s">
        <v>61</v>
      </c>
      <c r="O398" s="313" t="s">
        <v>15</v>
      </c>
      <c r="P398" s="313" t="s">
        <v>2</v>
      </c>
      <c r="Q398" s="313" t="s">
        <v>3</v>
      </c>
      <c r="R398" s="313" t="s">
        <v>4</v>
      </c>
      <c r="S398" s="313" t="s">
        <v>5</v>
      </c>
      <c r="T398" s="313" t="s">
        <v>62</v>
      </c>
      <c r="U398" s="313" t="s">
        <v>114</v>
      </c>
      <c r="V398" s="313"/>
    </row>
    <row r="399" spans="1:25" ht="15.75" thickBot="1" x14ac:dyDescent="0.3">
      <c r="A399" s="240"/>
      <c r="B399" s="7"/>
      <c r="K399" s="3"/>
      <c r="N399" s="271"/>
      <c r="O399" s="271"/>
      <c r="P399" s="271"/>
      <c r="Q399" s="271"/>
      <c r="R399" s="271"/>
      <c r="S399" s="271"/>
      <c r="T399" s="271"/>
      <c r="U399" s="146" t="s">
        <v>115</v>
      </c>
      <c r="V399" s="146" t="s">
        <v>116</v>
      </c>
    </row>
    <row r="400" spans="1:25" ht="15.75" thickBot="1" x14ac:dyDescent="0.3">
      <c r="A400" s="240"/>
      <c r="B400" s="7"/>
      <c r="K400" s="3"/>
      <c r="N400" s="209">
        <f>P389</f>
        <v>0</v>
      </c>
      <c r="O400" s="213">
        <f>P390</f>
        <v>90.185075196330502</v>
      </c>
      <c r="P400" s="213">
        <f>P391</f>
        <v>343.01426452149587</v>
      </c>
      <c r="Q400" s="221">
        <f>P392</f>
        <v>351.89944918415102</v>
      </c>
      <c r="R400" s="221">
        <f>P393</f>
        <v>0</v>
      </c>
      <c r="S400" s="221">
        <f>P394</f>
        <v>0</v>
      </c>
      <c r="T400" s="221">
        <f>P395</f>
        <v>0</v>
      </c>
      <c r="U400" s="214">
        <f>MAX(O388:O395)</f>
        <v>0.15575878126370496</v>
      </c>
      <c r="V400" s="213">
        <f>MAX(N400:T400)</f>
        <v>351.89944918415102</v>
      </c>
    </row>
    <row r="401" spans="1:25" x14ac:dyDescent="0.25">
      <c r="A401" s="240"/>
      <c r="B401" s="7"/>
      <c r="K401" s="3"/>
    </row>
    <row r="402" spans="1:25" s="196" customFormat="1" x14ac:dyDescent="0.25">
      <c r="A402" s="242"/>
      <c r="B402" s="210"/>
      <c r="K402" s="211"/>
    </row>
    <row r="403" spans="1:25" s="196" customFormat="1" x14ac:dyDescent="0.25">
      <c r="A403" s="242"/>
      <c r="B403" s="210"/>
      <c r="K403" s="211"/>
    </row>
    <row r="404" spans="1:25" x14ac:dyDescent="0.25">
      <c r="A404" s="240"/>
      <c r="I404" s="28"/>
    </row>
    <row r="405" spans="1:25" ht="18.75" x14ac:dyDescent="0.3">
      <c r="A405" s="240"/>
      <c r="B405" s="131" t="s">
        <v>190</v>
      </c>
      <c r="I405" s="28"/>
      <c r="R405" s="130" t="s">
        <v>181</v>
      </c>
    </row>
    <row r="406" spans="1:25" ht="15.75" thickBot="1" x14ac:dyDescent="0.3">
      <c r="A406" s="240"/>
      <c r="E406" s="97" t="s">
        <v>54</v>
      </c>
      <c r="F406" s="98">
        <f>7.79-0.0055*P409</f>
        <v>6.1400000000000006</v>
      </c>
      <c r="H406" t="s">
        <v>175</v>
      </c>
      <c r="I406" s="99" t="s">
        <v>103</v>
      </c>
      <c r="L406" s="129" t="s">
        <v>180</v>
      </c>
      <c r="R406" s="114" t="s">
        <v>2</v>
      </c>
    </row>
    <row r="407" spans="1:25" ht="19.5" customHeight="1" thickBot="1" x14ac:dyDescent="0.35">
      <c r="A407" s="240"/>
      <c r="B407" s="304" t="s">
        <v>197</v>
      </c>
      <c r="C407" s="305"/>
      <c r="D407" s="303" t="s">
        <v>72</v>
      </c>
      <c r="E407" s="303"/>
      <c r="F407" s="303"/>
      <c r="G407" s="303"/>
      <c r="H407" s="303"/>
      <c r="I407" s="303"/>
      <c r="J407" s="303"/>
      <c r="K407" s="303"/>
      <c r="L407" s="100">
        <v>1.25</v>
      </c>
      <c r="N407" s="131" t="s">
        <v>189</v>
      </c>
      <c r="Q407" s="137" t="s">
        <v>182</v>
      </c>
      <c r="R407" s="137" t="s">
        <v>183</v>
      </c>
    </row>
    <row r="408" spans="1:25" ht="30.75" thickBot="1" x14ac:dyDescent="0.3">
      <c r="A408" s="240"/>
      <c r="B408" s="299" t="s">
        <v>53</v>
      </c>
      <c r="C408" s="299" t="s">
        <v>17</v>
      </c>
      <c r="D408" s="299" t="s">
        <v>18</v>
      </c>
      <c r="E408" s="299" t="s">
        <v>19</v>
      </c>
      <c r="F408" s="307" t="s">
        <v>28</v>
      </c>
      <c r="G408" s="308"/>
      <c r="H408" s="309"/>
      <c r="I408" s="301" t="s">
        <v>26</v>
      </c>
      <c r="J408" s="302"/>
      <c r="K408" s="297" t="s">
        <v>52</v>
      </c>
      <c r="L408" s="297" t="s">
        <v>34</v>
      </c>
      <c r="N408" s="102" t="s">
        <v>6</v>
      </c>
      <c r="O408" s="103" t="s">
        <v>0</v>
      </c>
      <c r="P408" s="104" t="s">
        <v>55</v>
      </c>
      <c r="Q408" s="101" t="s">
        <v>97</v>
      </c>
      <c r="R408" s="101" t="s">
        <v>98</v>
      </c>
      <c r="S408" s="105" t="s">
        <v>1</v>
      </c>
    </row>
    <row r="409" spans="1:25" ht="25.5" x14ac:dyDescent="0.25">
      <c r="A409" s="240"/>
      <c r="B409" s="300"/>
      <c r="C409" s="300"/>
      <c r="D409" s="300"/>
      <c r="E409" s="300"/>
      <c r="F409" s="106" t="s">
        <v>27</v>
      </c>
      <c r="G409" s="106" t="s">
        <v>29</v>
      </c>
      <c r="H409" s="128" t="s">
        <v>176</v>
      </c>
      <c r="I409" s="106" t="s">
        <v>25</v>
      </c>
      <c r="J409" s="107" t="s">
        <v>24</v>
      </c>
      <c r="K409" s="298"/>
      <c r="L409" s="298"/>
      <c r="N409" s="108" t="s">
        <v>9</v>
      </c>
      <c r="O409" s="109">
        <v>0.16932907348242807</v>
      </c>
      <c r="P409" s="110">
        <v>300</v>
      </c>
      <c r="Q409" s="111">
        <v>23.9</v>
      </c>
      <c r="R409" s="160">
        <v>20</v>
      </c>
      <c r="S409" s="167">
        <v>193</v>
      </c>
    </row>
    <row r="410" spans="1:25" ht="30" x14ac:dyDescent="0.25">
      <c r="A410" s="240"/>
      <c r="B410" s="114">
        <v>1</v>
      </c>
      <c r="C410" s="117">
        <f>F406</f>
        <v>6.1400000000000006</v>
      </c>
      <c r="D410" s="162">
        <v>0</v>
      </c>
      <c r="E410" s="6" t="s">
        <v>20</v>
      </c>
      <c r="F410" s="1">
        <v>0</v>
      </c>
      <c r="G410" s="6" t="s">
        <v>20</v>
      </c>
      <c r="H410" s="134" t="s">
        <v>173</v>
      </c>
      <c r="I410" s="1">
        <v>0</v>
      </c>
      <c r="J410" s="1">
        <v>0</v>
      </c>
      <c r="K410" s="168">
        <f>892.62*$K$1</f>
        <v>897.97572000000002</v>
      </c>
      <c r="L410" s="2">
        <f t="shared" ref="L410:L415" si="83">K410*$L$407</f>
        <v>1122.46965</v>
      </c>
      <c r="N410" s="116" t="s">
        <v>56</v>
      </c>
      <c r="O410" s="116" t="s">
        <v>57</v>
      </c>
      <c r="P410" s="116" t="s">
        <v>58</v>
      </c>
      <c r="Q410" s="116" t="s">
        <v>96</v>
      </c>
      <c r="R410" s="116" t="s">
        <v>99</v>
      </c>
      <c r="S410" s="142" t="s">
        <v>184</v>
      </c>
      <c r="T410" s="314" t="s">
        <v>59</v>
      </c>
      <c r="U410" s="315"/>
      <c r="V410" s="315"/>
      <c r="W410" s="315"/>
      <c r="X410" s="315"/>
      <c r="Y410" s="316"/>
    </row>
    <row r="411" spans="1:25" x14ac:dyDescent="0.25">
      <c r="A411" s="240"/>
      <c r="B411" s="114">
        <v>2</v>
      </c>
      <c r="C411" s="117">
        <f>ROUND($C$410*(1-D411),2)</f>
        <v>5.72</v>
      </c>
      <c r="D411" s="162">
        <v>6.7914979757085089E-2</v>
      </c>
      <c r="E411" s="6" t="s">
        <v>136</v>
      </c>
      <c r="F411" s="4">
        <v>312.11</v>
      </c>
      <c r="G411" s="6" t="s">
        <v>30</v>
      </c>
      <c r="H411" s="154" t="s">
        <v>177</v>
      </c>
      <c r="I411" s="229">
        <f>(F12*1.05^((LOG(5.2/4.59)/LOG(1.02)))-F12)*$K$1</f>
        <v>117.86701379936029</v>
      </c>
      <c r="J411" s="1">
        <f>J410+I411</f>
        <v>117.86701379936029</v>
      </c>
      <c r="K411" s="4">
        <f>$K$410+J411</f>
        <v>1015.8427337993603</v>
      </c>
      <c r="L411" s="2">
        <f t="shared" si="83"/>
        <v>1269.8034172492003</v>
      </c>
      <c r="N411" s="118" t="s">
        <v>61</v>
      </c>
      <c r="O411" s="119">
        <v>0</v>
      </c>
      <c r="P411" s="14">
        <f>J410</f>
        <v>0</v>
      </c>
      <c r="Q411" s="14">
        <f>L410</f>
        <v>1122.46965</v>
      </c>
      <c r="R411" s="19">
        <f>IF($Q$409=$R$409,$R$409,IF(RIGHT(N411)&gt;=RIGHT($R$406),$R$409,$Q$409))</f>
        <v>23.9</v>
      </c>
      <c r="S411" s="19" t="s">
        <v>173</v>
      </c>
      <c r="T411" s="6"/>
      <c r="U411" s="6"/>
      <c r="V411" s="6"/>
      <c r="W411" s="6"/>
      <c r="X411" s="6"/>
      <c r="Y411" s="6"/>
    </row>
    <row r="412" spans="1:25" x14ac:dyDescent="0.25">
      <c r="A412" s="240"/>
      <c r="B412" s="114">
        <v>3</v>
      </c>
      <c r="C412" s="117">
        <f>ROUND($C$410*(1-D412),2)</f>
        <v>5.31</v>
      </c>
      <c r="D412" s="162">
        <v>0.13504178553557622</v>
      </c>
      <c r="E412" s="6" t="s">
        <v>161</v>
      </c>
      <c r="F412" s="4">
        <v>69.680000000000007</v>
      </c>
      <c r="G412" s="6" t="s">
        <v>31</v>
      </c>
      <c r="H412" s="154" t="s">
        <v>177</v>
      </c>
      <c r="I412" s="4">
        <f>40.32170625*$K$1</f>
        <v>40.563636487499998</v>
      </c>
      <c r="J412" s="1">
        <f>J411+I412</f>
        <v>158.4306502868603</v>
      </c>
      <c r="K412" s="4">
        <f>$K$410+J412</f>
        <v>1056.4063702868602</v>
      </c>
      <c r="L412" s="2">
        <f t="shared" si="83"/>
        <v>1320.5079628585754</v>
      </c>
      <c r="N412" s="118" t="s">
        <v>15</v>
      </c>
      <c r="O412" s="119">
        <v>0.1</v>
      </c>
      <c r="P412" s="14">
        <f>J411+(J412-J411)*(O412-D411)/(D412-D411)</f>
        <v>137.25546946522937</v>
      </c>
      <c r="Q412" s="14">
        <f>P412*$L$407</f>
        <v>171.5693368315367</v>
      </c>
      <c r="R412" s="19">
        <f>IF($Q$409=$R$409,$R$409,IF(RIGHT(N412)&gt;=RIGHT($R$406),$R$409,$Q$409))</f>
        <v>23.9</v>
      </c>
      <c r="S412" s="19" t="s">
        <v>185</v>
      </c>
      <c r="T412" s="2"/>
      <c r="U412" s="2"/>
      <c r="V412" s="6"/>
      <c r="W412" s="6"/>
      <c r="X412" s="6"/>
      <c r="Y412" s="6"/>
    </row>
    <row r="413" spans="1:25" x14ac:dyDescent="0.25">
      <c r="A413" s="240"/>
      <c r="B413" s="114">
        <v>4</v>
      </c>
      <c r="C413" s="117">
        <f>ROUND($C$410*(1-D413),2)</f>
        <v>5.0999999999999996</v>
      </c>
      <c r="D413" s="162">
        <v>0.16874965070411568</v>
      </c>
      <c r="E413" s="6" t="s">
        <v>64</v>
      </c>
      <c r="F413" s="4">
        <v>0</v>
      </c>
      <c r="G413" s="6" t="s">
        <v>65</v>
      </c>
      <c r="H413" s="154" t="s">
        <v>178</v>
      </c>
      <c r="I413" s="4">
        <f>30*$K$1</f>
        <v>30.18</v>
      </c>
      <c r="J413" s="1">
        <f>J412+I413</f>
        <v>188.61065028686031</v>
      </c>
      <c r="K413" s="4">
        <f>$K$410+J413</f>
        <v>1086.5863702868603</v>
      </c>
      <c r="L413" s="2">
        <f t="shared" si="83"/>
        <v>1358.2329628585753</v>
      </c>
      <c r="N413" s="118" t="s">
        <v>2</v>
      </c>
      <c r="O413" s="119">
        <v>0.15</v>
      </c>
      <c r="P413" s="177">
        <f>U413-Y413*(W413/X413)</f>
        <v>144.35829358294046</v>
      </c>
      <c r="Q413" s="14">
        <f>P413*$L$407</f>
        <v>180.44786697867556</v>
      </c>
      <c r="R413" s="19">
        <f>IF($Q$409=$R$409,$R$409,IF(RIGHT(N413)&gt;=RIGHT($R$406),$R$409,$Q$409))</f>
        <v>20</v>
      </c>
      <c r="S413" s="19" t="s">
        <v>186</v>
      </c>
      <c r="T413" s="157">
        <f>D413</f>
        <v>0.16874965070411568</v>
      </c>
      <c r="U413" s="4">
        <f>J413</f>
        <v>188.61065028686031</v>
      </c>
      <c r="V413" s="6"/>
      <c r="W413" s="157">
        <f>T413-O413</f>
        <v>1.8749650704115689E-2</v>
      </c>
      <c r="X413" s="157">
        <f>D412-D411</f>
        <v>6.712680577849113E-2</v>
      </c>
      <c r="Y413" s="1">
        <f>J412</f>
        <v>158.4306502868603</v>
      </c>
    </row>
    <row r="414" spans="1:25" x14ac:dyDescent="0.25">
      <c r="A414" s="240"/>
      <c r="B414" s="114">
        <v>5</v>
      </c>
      <c r="C414" s="117">
        <f>ROUND($C$410*(1-D414),2)</f>
        <v>5.01</v>
      </c>
      <c r="D414" s="162">
        <v>0.18455676026122525</v>
      </c>
      <c r="E414" s="6" t="s">
        <v>49</v>
      </c>
      <c r="F414" s="4">
        <v>11.76</v>
      </c>
      <c r="G414" s="6" t="s">
        <v>33</v>
      </c>
      <c r="H414" s="154" t="s">
        <v>178</v>
      </c>
      <c r="I414" s="4">
        <f>34.74*$K$1</f>
        <v>34.948440000000005</v>
      </c>
      <c r="J414" s="1">
        <f>J413+I414</f>
        <v>223.55909028686031</v>
      </c>
      <c r="K414" s="4">
        <f>$K$410+J414</f>
        <v>1121.5348102868604</v>
      </c>
      <c r="L414" s="2">
        <f t="shared" si="83"/>
        <v>1401.9185128585755</v>
      </c>
      <c r="N414" s="118" t="s">
        <v>3</v>
      </c>
      <c r="O414" s="119">
        <v>0.2</v>
      </c>
      <c r="P414" s="177">
        <f>U414-Y414*(W414/X414)</f>
        <v>405.81056503813045</v>
      </c>
      <c r="Q414" s="14">
        <f>P414*$L$407</f>
        <v>507.26320629766303</v>
      </c>
      <c r="R414" s="19">
        <f>IF($Q$409=$R$409,$R$409,IF(RIGHT(N414)&gt;=RIGHT($R$406),$R$409,$Q$409))</f>
        <v>20</v>
      </c>
      <c r="S414" s="19" t="s">
        <v>186</v>
      </c>
      <c r="T414" s="157">
        <f>D415</f>
        <v>0.2154482017703632</v>
      </c>
      <c r="U414" s="4">
        <f>J415</f>
        <v>442.27094213871175</v>
      </c>
      <c r="V414" s="6"/>
      <c r="W414" s="157">
        <f>T414-O414</f>
        <v>1.5448201770363185E-2</v>
      </c>
      <c r="X414" s="157">
        <f>D412-D411</f>
        <v>6.712680577849113E-2</v>
      </c>
      <c r="Y414" s="1">
        <f>J412</f>
        <v>158.4306502868603</v>
      </c>
    </row>
    <row r="415" spans="1:25" x14ac:dyDescent="0.25">
      <c r="A415" s="240"/>
      <c r="B415" s="114">
        <v>6</v>
      </c>
      <c r="C415" s="117">
        <f>ROUND($C$410*(1-D415),2)</f>
        <v>4.82</v>
      </c>
      <c r="D415" s="162">
        <v>0.2154482017703632</v>
      </c>
      <c r="E415" s="6" t="s">
        <v>50</v>
      </c>
      <c r="F415" s="4">
        <v>0</v>
      </c>
      <c r="G415" s="6" t="s">
        <v>50</v>
      </c>
      <c r="H415" s="154" t="s">
        <v>178</v>
      </c>
      <c r="I415" s="4">
        <f>217.407407407407*$K$1</f>
        <v>218.71185185185143</v>
      </c>
      <c r="J415" s="1">
        <f>J414+I415</f>
        <v>442.27094213871175</v>
      </c>
      <c r="K415" s="4">
        <f>$K$410+J415</f>
        <v>1340.2466621387118</v>
      </c>
      <c r="L415" s="2">
        <f t="shared" si="83"/>
        <v>1675.3083276733898</v>
      </c>
      <c r="N415" s="118" t="s">
        <v>4</v>
      </c>
      <c r="O415" s="123">
        <f>D415</f>
        <v>0.2154482017703632</v>
      </c>
      <c r="P415" s="14">
        <f>J415</f>
        <v>442.27094213871175</v>
      </c>
      <c r="Q415" s="14">
        <f>P415*$L$407</f>
        <v>552.83867767338972</v>
      </c>
      <c r="R415" s="19">
        <f>IF($Q$409=$R$409,$R$409,IF(RIGHT(N415)&gt;=RIGHT($R$406),$R$409,$Q$409))</f>
        <v>20</v>
      </c>
      <c r="S415" s="19" t="s">
        <v>132</v>
      </c>
      <c r="T415" s="121"/>
      <c r="U415" s="13"/>
      <c r="V415" s="114"/>
      <c r="W415" s="121"/>
      <c r="X415" s="121"/>
      <c r="Y415" s="13"/>
    </row>
    <row r="416" spans="1:25" x14ac:dyDescent="0.25">
      <c r="A416" s="240"/>
      <c r="B416" s="114">
        <v>7</v>
      </c>
      <c r="C416" s="117"/>
      <c r="D416" s="162"/>
      <c r="E416" s="6"/>
      <c r="F416" s="1"/>
      <c r="G416" s="6"/>
      <c r="H416" s="6"/>
      <c r="I416" s="1"/>
      <c r="J416" s="1"/>
      <c r="K416" s="4"/>
      <c r="L416" s="2"/>
      <c r="N416" s="118" t="s">
        <v>5</v>
      </c>
      <c r="O416" s="119"/>
      <c r="P416" s="13"/>
      <c r="Q416" s="13"/>
      <c r="R416" s="19"/>
      <c r="S416" s="19"/>
      <c r="T416" s="121"/>
      <c r="U416" s="13"/>
      <c r="V416" s="114"/>
      <c r="W416" s="121"/>
      <c r="X416" s="121"/>
      <c r="Y416" s="13"/>
    </row>
    <row r="417" spans="1:25" x14ac:dyDescent="0.25">
      <c r="A417" s="240"/>
      <c r="B417" s="114">
        <v>8</v>
      </c>
      <c r="C417" s="6"/>
      <c r="D417" s="6"/>
      <c r="E417" s="6"/>
      <c r="F417" s="6"/>
      <c r="G417" s="6"/>
      <c r="H417" s="6"/>
      <c r="I417" s="6"/>
      <c r="J417" s="6"/>
      <c r="K417" s="4"/>
      <c r="L417" s="6"/>
      <c r="N417" s="118" t="s">
        <v>62</v>
      </c>
      <c r="O417" s="123"/>
      <c r="P417" s="15"/>
      <c r="Q417" s="15"/>
      <c r="R417" s="19"/>
      <c r="S417" s="19"/>
      <c r="T417" s="121"/>
      <c r="U417" s="121"/>
      <c r="V417" s="13"/>
      <c r="W417" s="114"/>
      <c r="X417" s="114"/>
      <c r="Y417" s="114"/>
    </row>
    <row r="418" spans="1:25" x14ac:dyDescent="0.25">
      <c r="A418" s="240"/>
      <c r="B418" s="114">
        <v>9</v>
      </c>
      <c r="C418" s="6"/>
      <c r="D418" s="6"/>
      <c r="E418" s="6"/>
      <c r="F418" s="6"/>
      <c r="G418" s="6"/>
      <c r="H418" s="6"/>
      <c r="I418" s="6"/>
      <c r="J418" s="6"/>
      <c r="K418" s="4"/>
      <c r="L418" s="6"/>
    </row>
    <row r="419" spans="1:25" ht="19.5" thickBot="1" x14ac:dyDescent="0.35">
      <c r="A419" s="240"/>
      <c r="B419" s="114">
        <v>10</v>
      </c>
      <c r="C419" s="6"/>
      <c r="D419" s="6"/>
      <c r="E419" s="6"/>
      <c r="F419" s="6"/>
      <c r="G419" s="6"/>
      <c r="H419" s="6"/>
      <c r="I419" s="6"/>
      <c r="J419" s="6"/>
      <c r="K419" s="4"/>
      <c r="L419" s="6"/>
      <c r="N419" s="131" t="s">
        <v>188</v>
      </c>
      <c r="O419" s="129"/>
      <c r="P419" s="129"/>
      <c r="Q419" s="129"/>
      <c r="R419" s="129"/>
      <c r="S419" s="129"/>
      <c r="T419" s="129"/>
      <c r="U419" s="129"/>
      <c r="V419" s="129"/>
    </row>
    <row r="420" spans="1:25" ht="15.75" customHeight="1" thickBot="1" x14ac:dyDescent="0.3">
      <c r="A420" s="240"/>
      <c r="B420" s="7"/>
      <c r="K420" s="3"/>
      <c r="N420" s="313" t="s">
        <v>61</v>
      </c>
      <c r="O420" s="313" t="s">
        <v>15</v>
      </c>
      <c r="P420" s="313" t="s">
        <v>2</v>
      </c>
      <c r="Q420" s="313" t="s">
        <v>3</v>
      </c>
      <c r="R420" s="313" t="s">
        <v>4</v>
      </c>
      <c r="S420" s="313" t="s">
        <v>5</v>
      </c>
      <c r="T420" s="313" t="s">
        <v>62</v>
      </c>
      <c r="U420" s="313" t="s">
        <v>114</v>
      </c>
      <c r="V420" s="313"/>
    </row>
    <row r="421" spans="1:25" ht="15.75" thickBot="1" x14ac:dyDescent="0.3">
      <c r="B421" s="7"/>
      <c r="K421" s="3"/>
      <c r="N421" s="271"/>
      <c r="O421" s="271"/>
      <c r="P421" s="271"/>
      <c r="Q421" s="271"/>
      <c r="R421" s="271"/>
      <c r="S421" s="271"/>
      <c r="T421" s="271"/>
      <c r="U421" s="146" t="s">
        <v>115</v>
      </c>
      <c r="V421" s="146" t="s">
        <v>116</v>
      </c>
    </row>
    <row r="422" spans="1:25" ht="15.75" thickBot="1" x14ac:dyDescent="0.3">
      <c r="N422" s="209">
        <f>P411</f>
        <v>0</v>
      </c>
      <c r="O422" s="213">
        <f>P412</f>
        <v>137.25546946522937</v>
      </c>
      <c r="P422" s="213">
        <f>P413</f>
        <v>144.35829358294046</v>
      </c>
      <c r="Q422" s="213">
        <f>P414</f>
        <v>405.81056503813045</v>
      </c>
      <c r="R422" s="221">
        <f>P415</f>
        <v>442.27094213871175</v>
      </c>
      <c r="S422" s="221">
        <f>P416</f>
        <v>0</v>
      </c>
      <c r="T422" s="221">
        <f>P417</f>
        <v>0</v>
      </c>
      <c r="U422" s="214">
        <f>MAX(O410:O417)</f>
        <v>0.2154482017703632</v>
      </c>
      <c r="V422" s="213">
        <f>MAX(N422:T422)</f>
        <v>442.27094213871175</v>
      </c>
    </row>
  </sheetData>
  <mergeCells count="360">
    <mergeCell ref="T148:Y148"/>
    <mergeCell ref="T102:Y102"/>
    <mergeCell ref="B234:C234"/>
    <mergeCell ref="B299:C299"/>
    <mergeCell ref="D299:K299"/>
    <mergeCell ref="B278:C278"/>
    <mergeCell ref="D278:K278"/>
    <mergeCell ref="B256:C256"/>
    <mergeCell ref="D256:K256"/>
    <mergeCell ref="T280:Y280"/>
    <mergeCell ref="T203:T204"/>
    <mergeCell ref="U203:V203"/>
    <mergeCell ref="N225:N226"/>
    <mergeCell ref="O225:O226"/>
    <mergeCell ref="P225:P226"/>
    <mergeCell ref="Q225:Q226"/>
    <mergeCell ref="R225:R226"/>
    <mergeCell ref="S225:S226"/>
    <mergeCell ref="T225:T226"/>
    <mergeCell ref="U225:V225"/>
    <mergeCell ref="O203:O204"/>
    <mergeCell ref="P203:P204"/>
    <mergeCell ref="Q203:Q204"/>
    <mergeCell ref="R203:R204"/>
    <mergeCell ref="T322:Y322"/>
    <mergeCell ref="T344:Y344"/>
    <mergeCell ref="T366:Y366"/>
    <mergeCell ref="T388:Y388"/>
    <mergeCell ref="T259:Y259"/>
    <mergeCell ref="T237:Y237"/>
    <mergeCell ref="T215:Y215"/>
    <mergeCell ref="T193:Y193"/>
    <mergeCell ref="D385:K385"/>
    <mergeCell ref="P332:P333"/>
    <mergeCell ref="Q332:Q333"/>
    <mergeCell ref="R332:R333"/>
    <mergeCell ref="S332:S333"/>
    <mergeCell ref="T332:T333"/>
    <mergeCell ref="U332:V332"/>
    <mergeCell ref="N290:N291"/>
    <mergeCell ref="O290:O291"/>
    <mergeCell ref="P290:P291"/>
    <mergeCell ref="Q290:Q291"/>
    <mergeCell ref="R290:R291"/>
    <mergeCell ref="S290:S291"/>
    <mergeCell ref="T290:T291"/>
    <mergeCell ref="U290:V290"/>
    <mergeCell ref="N311:N312"/>
    <mergeCell ref="B385:C385"/>
    <mergeCell ref="D363:K363"/>
    <mergeCell ref="B363:C363"/>
    <mergeCell ref="B341:C341"/>
    <mergeCell ref="D341:K341"/>
    <mergeCell ref="D320:K320"/>
    <mergeCell ref="B320:C320"/>
    <mergeCell ref="B321:B322"/>
    <mergeCell ref="C321:C322"/>
    <mergeCell ref="D321:D322"/>
    <mergeCell ref="E321:E322"/>
    <mergeCell ref="I321:J321"/>
    <mergeCell ref="K321:K322"/>
    <mergeCell ref="N420:N421"/>
    <mergeCell ref="O420:O421"/>
    <mergeCell ref="P420:P421"/>
    <mergeCell ref="Q420:Q421"/>
    <mergeCell ref="R420:R421"/>
    <mergeCell ref="S420:S421"/>
    <mergeCell ref="T420:T421"/>
    <mergeCell ref="U420:V420"/>
    <mergeCell ref="D234:K234"/>
    <mergeCell ref="T410:Y410"/>
    <mergeCell ref="R376:R377"/>
    <mergeCell ref="S376:S377"/>
    <mergeCell ref="T376:T377"/>
    <mergeCell ref="U376:V376"/>
    <mergeCell ref="N398:N399"/>
    <mergeCell ref="O398:O399"/>
    <mergeCell ref="P398:P399"/>
    <mergeCell ref="Q398:Q399"/>
    <mergeCell ref="R398:R399"/>
    <mergeCell ref="S398:S399"/>
    <mergeCell ref="T398:T399"/>
    <mergeCell ref="U398:V398"/>
    <mergeCell ref="N332:N333"/>
    <mergeCell ref="O332:O333"/>
    <mergeCell ref="O311:O312"/>
    <mergeCell ref="P311:P312"/>
    <mergeCell ref="Q311:Q312"/>
    <mergeCell ref="R311:R312"/>
    <mergeCell ref="S311:S312"/>
    <mergeCell ref="T311:T312"/>
    <mergeCell ref="U311:V311"/>
    <mergeCell ref="N247:N248"/>
    <mergeCell ref="O247:O248"/>
    <mergeCell ref="P247:P248"/>
    <mergeCell ref="Q247:Q248"/>
    <mergeCell ref="R247:R248"/>
    <mergeCell ref="S247:S248"/>
    <mergeCell ref="T247:T248"/>
    <mergeCell ref="U247:V247"/>
    <mergeCell ref="N269:N270"/>
    <mergeCell ref="O269:O270"/>
    <mergeCell ref="P269:P270"/>
    <mergeCell ref="Q269:Q270"/>
    <mergeCell ref="R269:R270"/>
    <mergeCell ref="S269:S270"/>
    <mergeCell ref="T269:T270"/>
    <mergeCell ref="U269:V269"/>
    <mergeCell ref="S203:S204"/>
    <mergeCell ref="N159:N160"/>
    <mergeCell ref="O159:O160"/>
    <mergeCell ref="P159:P160"/>
    <mergeCell ref="Q159:Q160"/>
    <mergeCell ref="R159:R160"/>
    <mergeCell ref="S159:S160"/>
    <mergeCell ref="T159:T160"/>
    <mergeCell ref="U159:V159"/>
    <mergeCell ref="N181:N182"/>
    <mergeCell ref="O181:O182"/>
    <mergeCell ref="P181:P182"/>
    <mergeCell ref="Q181:Q182"/>
    <mergeCell ref="R181:R182"/>
    <mergeCell ref="S181:S182"/>
    <mergeCell ref="T181:T182"/>
    <mergeCell ref="U181:V181"/>
    <mergeCell ref="T171:Y171"/>
    <mergeCell ref="N203:N204"/>
    <mergeCell ref="Q113:Q114"/>
    <mergeCell ref="R113:R114"/>
    <mergeCell ref="S113:S114"/>
    <mergeCell ref="T113:T114"/>
    <mergeCell ref="U113:V113"/>
    <mergeCell ref="N136:N137"/>
    <mergeCell ref="O136:O137"/>
    <mergeCell ref="P136:P137"/>
    <mergeCell ref="Q136:Q137"/>
    <mergeCell ref="R136:R137"/>
    <mergeCell ref="S136:S137"/>
    <mergeCell ref="T136:T137"/>
    <mergeCell ref="U136:V136"/>
    <mergeCell ref="T125:Y125"/>
    <mergeCell ref="T79:Y79"/>
    <mergeCell ref="F54:H54"/>
    <mergeCell ref="F77:H77"/>
    <mergeCell ref="F300:H300"/>
    <mergeCell ref="F257:H257"/>
    <mergeCell ref="F235:H235"/>
    <mergeCell ref="F213:H213"/>
    <mergeCell ref="F191:H191"/>
    <mergeCell ref="F169:H169"/>
    <mergeCell ref="F146:H146"/>
    <mergeCell ref="F123:H123"/>
    <mergeCell ref="F100:H100"/>
    <mergeCell ref="F279:H279"/>
    <mergeCell ref="N90:N91"/>
    <mergeCell ref="O90:O91"/>
    <mergeCell ref="P90:P91"/>
    <mergeCell ref="Q90:Q91"/>
    <mergeCell ref="R90:R91"/>
    <mergeCell ref="S90:S91"/>
    <mergeCell ref="T90:T91"/>
    <mergeCell ref="U90:V90"/>
    <mergeCell ref="N113:N114"/>
    <mergeCell ref="O113:O114"/>
    <mergeCell ref="P113:P114"/>
    <mergeCell ref="N67:N68"/>
    <mergeCell ref="O67:O68"/>
    <mergeCell ref="P67:P68"/>
    <mergeCell ref="Q67:Q68"/>
    <mergeCell ref="R67:R68"/>
    <mergeCell ref="S67:S68"/>
    <mergeCell ref="T67:T68"/>
    <mergeCell ref="U67:V67"/>
    <mergeCell ref="T56:Y56"/>
    <mergeCell ref="T33:Y33"/>
    <mergeCell ref="F31:H31"/>
    <mergeCell ref="N44:N45"/>
    <mergeCell ref="O44:O45"/>
    <mergeCell ref="P44:P45"/>
    <mergeCell ref="Q44:Q45"/>
    <mergeCell ref="R44:R45"/>
    <mergeCell ref="S44:S45"/>
    <mergeCell ref="T44:T45"/>
    <mergeCell ref="U44:V44"/>
    <mergeCell ref="N21:N22"/>
    <mergeCell ref="O21:O22"/>
    <mergeCell ref="P21:P22"/>
    <mergeCell ref="Q21:Q22"/>
    <mergeCell ref="R21:R22"/>
    <mergeCell ref="S21:S22"/>
    <mergeCell ref="T21:T22"/>
    <mergeCell ref="U21:V21"/>
    <mergeCell ref="D7:K7"/>
    <mergeCell ref="F8:H8"/>
    <mergeCell ref="T10:Y10"/>
    <mergeCell ref="K8:K9"/>
    <mergeCell ref="B408:B409"/>
    <mergeCell ref="C408:C409"/>
    <mergeCell ref="D408:D409"/>
    <mergeCell ref="E408:E409"/>
    <mergeCell ref="I408:J408"/>
    <mergeCell ref="K408:K409"/>
    <mergeCell ref="L408:L409"/>
    <mergeCell ref="F408:H408"/>
    <mergeCell ref="B386:B387"/>
    <mergeCell ref="C386:C387"/>
    <mergeCell ref="D386:D387"/>
    <mergeCell ref="E386:E387"/>
    <mergeCell ref="I386:J386"/>
    <mergeCell ref="K386:K387"/>
    <mergeCell ref="L386:L387"/>
    <mergeCell ref="F386:H386"/>
    <mergeCell ref="D407:K407"/>
    <mergeCell ref="B407:C407"/>
    <mergeCell ref="N376:N377"/>
    <mergeCell ref="O376:O377"/>
    <mergeCell ref="P376:P377"/>
    <mergeCell ref="Q376:Q377"/>
    <mergeCell ref="L342:L343"/>
    <mergeCell ref="B364:B365"/>
    <mergeCell ref="C364:C365"/>
    <mergeCell ref="D364:D365"/>
    <mergeCell ref="E364:E365"/>
    <mergeCell ref="I364:J364"/>
    <mergeCell ref="K364:K365"/>
    <mergeCell ref="L364:L365"/>
    <mergeCell ref="F342:H342"/>
    <mergeCell ref="F364:H364"/>
    <mergeCell ref="N354:N355"/>
    <mergeCell ref="O354:O355"/>
    <mergeCell ref="P354:P355"/>
    <mergeCell ref="Q354:Q355"/>
    <mergeCell ref="R354:R355"/>
    <mergeCell ref="S354:S355"/>
    <mergeCell ref="T354:T355"/>
    <mergeCell ref="U354:V354"/>
    <mergeCell ref="B342:B343"/>
    <mergeCell ref="C342:C343"/>
    <mergeCell ref="D342:D343"/>
    <mergeCell ref="E342:E343"/>
    <mergeCell ref="I342:J342"/>
    <mergeCell ref="K342:K343"/>
    <mergeCell ref="L321:L322"/>
    <mergeCell ref="F321:H321"/>
    <mergeCell ref="B300:B301"/>
    <mergeCell ref="K300:K301"/>
    <mergeCell ref="K257:K258"/>
    <mergeCell ref="L8:L9"/>
    <mergeCell ref="L31:L32"/>
    <mergeCell ref="L54:L55"/>
    <mergeCell ref="L77:L78"/>
    <mergeCell ref="L146:L147"/>
    <mergeCell ref="L300:L301"/>
    <mergeCell ref="L169:L170"/>
    <mergeCell ref="L191:L192"/>
    <mergeCell ref="L213:L214"/>
    <mergeCell ref="L257:L258"/>
    <mergeCell ref="L279:L280"/>
    <mergeCell ref="K279:K280"/>
    <mergeCell ref="C191:C192"/>
    <mergeCell ref="D191:D192"/>
    <mergeCell ref="C300:C301"/>
    <mergeCell ref="D300:D301"/>
    <mergeCell ref="E300:E301"/>
    <mergeCell ref="C279:C280"/>
    <mergeCell ref="I300:J300"/>
    <mergeCell ref="I279:J279"/>
    <mergeCell ref="B279:B280"/>
    <mergeCell ref="D279:D280"/>
    <mergeCell ref="E279:E280"/>
    <mergeCell ref="C31:C32"/>
    <mergeCell ref="D31:D32"/>
    <mergeCell ref="E31:E32"/>
    <mergeCell ref="C54:C55"/>
    <mergeCell ref="D54:D55"/>
    <mergeCell ref="E54:E55"/>
    <mergeCell ref="I31:J31"/>
    <mergeCell ref="I54:J54"/>
    <mergeCell ref="C77:C78"/>
    <mergeCell ref="D77:D78"/>
    <mergeCell ref="E77:E78"/>
    <mergeCell ref="I77:J77"/>
    <mergeCell ref="E191:E192"/>
    <mergeCell ref="I191:J191"/>
    <mergeCell ref="D212:K212"/>
    <mergeCell ref="B212:C212"/>
    <mergeCell ref="D99:K99"/>
    <mergeCell ref="B99:C99"/>
    <mergeCell ref="D122:K122"/>
    <mergeCell ref="B122:C122"/>
    <mergeCell ref="D168:K168"/>
    <mergeCell ref="B168:C168"/>
    <mergeCell ref="C169:C170"/>
    <mergeCell ref="D169:D170"/>
    <mergeCell ref="E169:E170"/>
    <mergeCell ref="I169:J169"/>
    <mergeCell ref="B191:B192"/>
    <mergeCell ref="K191:K192"/>
    <mergeCell ref="B213:B214"/>
    <mergeCell ref="K213:K214"/>
    <mergeCell ref="B169:B170"/>
    <mergeCell ref="K169:K170"/>
    <mergeCell ref="C257:C258"/>
    <mergeCell ref="D257:D258"/>
    <mergeCell ref="E257:E258"/>
    <mergeCell ref="I257:J257"/>
    <mergeCell ref="B257:B258"/>
    <mergeCell ref="B235:B236"/>
    <mergeCell ref="D190:K190"/>
    <mergeCell ref="B190:C190"/>
    <mergeCell ref="K235:K236"/>
    <mergeCell ref="B8:B9"/>
    <mergeCell ref="B7:C7"/>
    <mergeCell ref="B31:B32"/>
    <mergeCell ref="B30:C30"/>
    <mergeCell ref="K31:K32"/>
    <mergeCell ref="B54:B55"/>
    <mergeCell ref="B53:C53"/>
    <mergeCell ref="I8:J8"/>
    <mergeCell ref="C8:C9"/>
    <mergeCell ref="D8:D9"/>
    <mergeCell ref="E8:E9"/>
    <mergeCell ref="B77:B78"/>
    <mergeCell ref="K54:K55"/>
    <mergeCell ref="K77:K78"/>
    <mergeCell ref="B100:B101"/>
    <mergeCell ref="C100:C101"/>
    <mergeCell ref="D100:D101"/>
    <mergeCell ref="D30:K30"/>
    <mergeCell ref="D53:K53"/>
    <mergeCell ref="D76:K76"/>
    <mergeCell ref="B76:C76"/>
    <mergeCell ref="E100:E101"/>
    <mergeCell ref="I100:J100"/>
    <mergeCell ref="K100:K101"/>
    <mergeCell ref="L100:L101"/>
    <mergeCell ref="B123:B124"/>
    <mergeCell ref="C123:C124"/>
    <mergeCell ref="D123:D124"/>
    <mergeCell ref="E123:E124"/>
    <mergeCell ref="I123:J123"/>
    <mergeCell ref="K123:K124"/>
    <mergeCell ref="L123:L124"/>
    <mergeCell ref="K146:K147"/>
    <mergeCell ref="C146:C147"/>
    <mergeCell ref="D146:D147"/>
    <mergeCell ref="E146:E147"/>
    <mergeCell ref="D145:K145"/>
    <mergeCell ref="B145:C145"/>
    <mergeCell ref="I146:J146"/>
    <mergeCell ref="B146:B147"/>
    <mergeCell ref="L235:L236"/>
    <mergeCell ref="C235:C236"/>
    <mergeCell ref="D235:D236"/>
    <mergeCell ref="E235:E236"/>
    <mergeCell ref="I235:J235"/>
    <mergeCell ref="C213:C214"/>
    <mergeCell ref="D213:D214"/>
    <mergeCell ref="E213:E214"/>
    <mergeCell ref="I213:J213"/>
  </mergeCells>
  <hyperlinks>
    <hyperlink ref="L1" r:id="rId1" xr:uid="{00000000-0004-0000-0200-000000000000}"/>
  </hyperlink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Updated Analysis</vt:lpstr>
      <vt:lpstr>Summary</vt:lpstr>
      <vt:lpstr>Design Option Curves</vt:lpstr>
    </vt:vector>
  </TitlesOfParts>
  <Company>Navigant Consulting,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Burgos</dc:creator>
  <cp:lastModifiedBy>McKenney, Breana</cp:lastModifiedBy>
  <cp:lastPrinted>2014-10-09T19:33:40Z</cp:lastPrinted>
  <dcterms:created xsi:type="dcterms:W3CDTF">2012-11-29T22:16:19Z</dcterms:created>
  <dcterms:modified xsi:type="dcterms:W3CDTF">2023-02-21T17:36:19Z</dcterms:modified>
</cp:coreProperties>
</file>