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"/>
    </mc:Choice>
  </mc:AlternateContent>
  <xr:revisionPtr revIDLastSave="0" documentId="8_{66A3F50C-4AFF-4B7C-A512-2985EB93C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410-2 (IP Units)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1" l="1"/>
  <c r="P53" i="1" s="1"/>
  <c r="P58" i="1" s="1"/>
  <c r="O52" i="1"/>
  <c r="O53" i="1" s="1"/>
  <c r="O58" i="1" s="1"/>
  <c r="N52" i="1"/>
  <c r="N53" i="1" s="1"/>
  <c r="M52" i="1"/>
  <c r="M53" i="1" s="1"/>
  <c r="P104" i="1"/>
  <c r="O104" i="1"/>
  <c r="N104" i="1"/>
  <c r="P103" i="1"/>
  <c r="O103" i="1"/>
  <c r="N103" i="1"/>
  <c r="M103" i="1"/>
  <c r="M104" i="1"/>
  <c r="P55" i="1"/>
  <c r="O55" i="1"/>
  <c r="P64" i="1"/>
  <c r="O64" i="1"/>
  <c r="N64" i="1"/>
  <c r="M64" i="1"/>
  <c r="P46" i="1"/>
  <c r="P43" i="1"/>
  <c r="O43" i="1"/>
  <c r="N43" i="1"/>
  <c r="M43" i="1"/>
  <c r="M77" i="1"/>
  <c r="P42" i="1"/>
  <c r="O42" i="1"/>
  <c r="N42" i="1"/>
  <c r="M42" i="1"/>
  <c r="P44" i="1"/>
  <c r="O44" i="1"/>
  <c r="N44" i="1"/>
  <c r="M44" i="1"/>
  <c r="H40" i="1"/>
  <c r="K40" i="1" s="1"/>
  <c r="P60" i="1" l="1"/>
  <c r="B40" i="1"/>
  <c r="M40" i="1"/>
  <c r="M46" i="1" s="1"/>
  <c r="O40" i="1"/>
  <c r="O46" i="1" s="1"/>
  <c r="N40" i="1"/>
  <c r="N46" i="1" s="1"/>
  <c r="P40" i="1"/>
  <c r="A40" i="1"/>
  <c r="N96" i="1" l="1"/>
  <c r="N97" i="1" s="1"/>
  <c r="O96" i="1"/>
  <c r="P96" i="1"/>
  <c r="P97" i="1" s="1"/>
  <c r="O97" i="1"/>
  <c r="M96" i="1"/>
  <c r="M97" i="1" s="1"/>
  <c r="N82" i="1"/>
  <c r="O82" i="1"/>
  <c r="P82" i="1"/>
  <c r="N79" i="1"/>
  <c r="O79" i="1"/>
  <c r="P79" i="1"/>
  <c r="M82" i="1"/>
  <c r="N70" i="1"/>
  <c r="O70" i="1"/>
  <c r="P70" i="1"/>
  <c r="M70" i="1"/>
  <c r="N62" i="1"/>
  <c r="O62" i="1"/>
  <c r="O63" i="1" s="1"/>
  <c r="O65" i="1" s="1"/>
  <c r="O66" i="1" s="1"/>
  <c r="P62" i="1"/>
  <c r="M62" i="1"/>
  <c r="N37" i="1"/>
  <c r="N73" i="1" s="1"/>
  <c r="O37" i="1"/>
  <c r="O73" i="1" s="1"/>
  <c r="P37" i="1"/>
  <c r="P73" i="1" s="1"/>
  <c r="M37" i="1"/>
  <c r="P63" i="1" l="1"/>
  <c r="P65" i="1" s="1"/>
  <c r="P66" i="1" s="1"/>
  <c r="O83" i="1"/>
  <c r="O84" i="1" s="1"/>
  <c r="P83" i="1"/>
  <c r="P84" i="1" s="1"/>
  <c r="N83" i="1"/>
  <c r="N84" i="1" s="1"/>
  <c r="C40" i="1"/>
  <c r="P72" i="1"/>
  <c r="O72" i="1"/>
  <c r="N72" i="1"/>
  <c r="P59" i="1"/>
  <c r="P80" i="1" s="1"/>
  <c r="O59" i="1"/>
  <c r="P34" i="1"/>
  <c r="O34" i="1"/>
  <c r="N34" i="1"/>
  <c r="M34" i="1"/>
  <c r="O54" i="1" l="1"/>
  <c r="M54" i="1"/>
  <c r="P54" i="1"/>
  <c r="N54" i="1"/>
  <c r="O80" i="1"/>
  <c r="O60" i="1"/>
  <c r="O38" i="1"/>
  <c r="N38" i="1"/>
  <c r="P38" i="1"/>
  <c r="M38" i="1"/>
  <c r="H15" i="3"/>
  <c r="H16" i="3" s="1"/>
  <c r="H17" i="3" s="1"/>
  <c r="F14" i="3"/>
  <c r="F13" i="3"/>
  <c r="M72" i="1"/>
  <c r="N55" i="1" l="1"/>
  <c r="N58" i="1"/>
  <c r="N59" i="1" s="1"/>
  <c r="N60" i="1" s="1"/>
  <c r="M55" i="1"/>
  <c r="M58" i="1"/>
  <c r="M63" i="1" s="1"/>
  <c r="M65" i="1" s="1"/>
  <c r="M66" i="1" s="1"/>
  <c r="N63" i="1"/>
  <c r="N65" i="1" s="1"/>
  <c r="N66" i="1" s="1"/>
  <c r="M83" i="1"/>
  <c r="M84" i="1" s="1"/>
  <c r="M59" i="1" l="1"/>
  <c r="M60" i="1" s="1"/>
  <c r="M73" i="1"/>
  <c r="N80" i="1"/>
  <c r="M79" i="1"/>
  <c r="M80" i="1" l="1"/>
</calcChain>
</file>

<file path=xl/sharedStrings.xml><?xml version="1.0" encoding="utf-8"?>
<sst xmlns="http://schemas.openxmlformats.org/spreadsheetml/2006/main" count="340" uniqueCount="241">
  <si>
    <t>Calculation Procedure</t>
  </si>
  <si>
    <t>Steam Coils</t>
  </si>
  <si>
    <t>Water Coils</t>
  </si>
  <si>
    <t>Dry Surface</t>
  </si>
  <si>
    <t>Fully-Wetted Surface</t>
  </si>
  <si>
    <t>Solution Procedure    Steps for Specific            Coil Application</t>
  </si>
  <si>
    <t>GENERAL PROCEDURE</t>
  </si>
  <si>
    <t>Coil Surface:</t>
  </si>
  <si>
    <t>Coil Line:</t>
  </si>
  <si>
    <t>Coil Type:</t>
  </si>
  <si>
    <t>General Category</t>
  </si>
  <si>
    <t>Item No.</t>
  </si>
  <si>
    <t>Item Abbr.</t>
  </si>
  <si>
    <t>Item Description</t>
  </si>
  <si>
    <t>B</t>
  </si>
  <si>
    <t>Number of Tube Circuits in Coil</t>
  </si>
  <si>
    <t>Total Cross-Sectional Fluid Flow Area</t>
  </si>
  <si>
    <t>Coil Depth in Rows</t>
  </si>
  <si>
    <t>-</t>
  </si>
  <si>
    <t>Coil Physical Data</t>
  </si>
  <si>
    <t>Total External Coil Surface (See Form 410-1)</t>
  </si>
  <si>
    <t>Surface Ratio (See Form 410-1)</t>
  </si>
  <si>
    <t>Tube Inside Diameter (See Form 410-1)</t>
  </si>
  <si>
    <t>Avg. Absolute Static Pressure at Test Coil</t>
  </si>
  <si>
    <t>Entering Air Dry-Bulb Temperature</t>
  </si>
  <si>
    <t>Entering Air Wet-bulb Temperature</t>
  </si>
  <si>
    <t>Entering Air Enthalpy</t>
  </si>
  <si>
    <t>Leaving Air Dry-Bulb Temperature</t>
  </si>
  <si>
    <t>Leaving Air Enthalpy</t>
  </si>
  <si>
    <t>Entering Water Temperature</t>
  </si>
  <si>
    <t>Leaving Water Temperature</t>
  </si>
  <si>
    <t>Standard Air Face Velocity</t>
  </si>
  <si>
    <t>Mean Water Temperature Inside Tubes</t>
  </si>
  <si>
    <t>Mean Saturated Steam Temp in Coil Circuit</t>
  </si>
  <si>
    <t>Btu/lb</t>
  </si>
  <si>
    <t>Logarithmic Mean Temp Difference between Air and Heating or Cooling Fluid</t>
  </si>
  <si>
    <t>R</t>
  </si>
  <si>
    <t>Overall Thermal Resistance Between Air and Heating or Cooling Fluid</t>
  </si>
  <si>
    <t>Tube-Side Film Thermal Resistance, Steam</t>
  </si>
  <si>
    <t xml:space="preserve">Combined Air Film Plus Metal Thermal Resistance.                                                            </t>
  </si>
  <si>
    <t>Air-Side Heat Transfer Coefficient for Dry Surface</t>
  </si>
  <si>
    <t>Total Metal Thermal Resistance of Fin and Tube.</t>
  </si>
  <si>
    <t>Mean Air Enthalpy</t>
  </si>
  <si>
    <t>C</t>
  </si>
  <si>
    <r>
      <t>m"/c</t>
    </r>
    <r>
      <rPr>
        <vertAlign val="subscript"/>
        <sz val="10"/>
        <color theme="1"/>
        <rFont val="Calibri"/>
        <family val="2"/>
        <scheme val="minor"/>
      </rPr>
      <t>p</t>
    </r>
  </si>
  <si>
    <t>Coil Characteristic</t>
  </si>
  <si>
    <t>Entering Air Dew Point Temperature</t>
  </si>
  <si>
    <t>Note: Calculation of Dew Point Temp for Non-Standard Air Pressure*</t>
  </si>
  <si>
    <t>Coil Surface Temp. on Entering Air Side</t>
  </si>
  <si>
    <t>Coil Surface Temp. on Leaving Air Side</t>
  </si>
  <si>
    <t>Logarithmic Mean Enthalpy Difference between Air Stream and Coil Surface</t>
  </si>
  <si>
    <t>Calculated External Surface Area</t>
  </si>
  <si>
    <t>Coil Air-Side Friction per Row Deep at Standard Conditions</t>
  </si>
  <si>
    <t>For dry surface:</t>
  </si>
  <si>
    <t>For fully wetted surface:</t>
  </si>
  <si>
    <t>--</t>
  </si>
  <si>
    <t>CALCULATION OF AIR-SIDE RESISTANCES FROM STEAM AND WATER COIL TESTS (Imperial Units, IP)                                                                                                                    AHRI CERTIFICATION PROGRAM FOR FORCED-CIRCULATION AIR-COOLING AND AIR-HEATING COILS</t>
  </si>
  <si>
    <t>CALCULATIONS TO DETERMINE HEAT TRANSFER COEFFICIENTS FOR USE IN APPLICATION RATINGS</t>
  </si>
  <si>
    <t>CALCULATION OF COIL                          AIR-SIDE FRICTION</t>
  </si>
  <si>
    <t>For Thermal Counterflow Hot Water Coils:</t>
  </si>
  <si>
    <t>Laboratory Test Observation and Calculations Obtained from ASHRAE Std 33-2000, Forms 33TD-3 (water) or 33TD-4 (steam)</t>
  </si>
  <si>
    <t>*</t>
  </si>
  <si>
    <t>Straight Tube Length per Pass/Tube Diameter</t>
  </si>
  <si>
    <t>Straight Tube Length per Pass</t>
  </si>
  <si>
    <t xml:space="preserve">Initial Estimate of Mean Tube Wall Temperature </t>
  </si>
  <si>
    <t>Tube-Side Film Thermal Resistance, for hot or cold water.</t>
  </si>
  <si>
    <t>lb / h</t>
  </si>
  <si>
    <t xml:space="preserve">Initial Estimate of Tube Side Film Thermal Resistance </t>
  </si>
  <si>
    <t>Water Flow Rate</t>
  </si>
  <si>
    <t>Btu/h</t>
  </si>
  <si>
    <t>Average Sensible Heat Transfer Capacity</t>
  </si>
  <si>
    <t>Average Total Heat Transfer Capacity</t>
  </si>
  <si>
    <t>Isothermal Dry Surface Air-Side Pressure Drop at Standard Conditions</t>
  </si>
  <si>
    <t>Wet Surface Air-Side Pressure Drop at Standard Conditions</t>
  </si>
  <si>
    <t>Average Standard Water Velocity</t>
  </si>
  <si>
    <t>For Single Tube Steam Coils:</t>
  </si>
  <si>
    <t>°F</t>
  </si>
  <si>
    <t>ft/s</t>
  </si>
  <si>
    <t>in</t>
  </si>
  <si>
    <t>in Hg abs</t>
  </si>
  <si>
    <t>std. ft/min</t>
  </si>
  <si>
    <t>For Thermal Counterflow* Cold Water Coils:</t>
  </si>
  <si>
    <r>
      <t>= w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/A</t>
    </r>
    <r>
      <rPr>
        <vertAlign val="subscript"/>
        <sz val="9"/>
        <color theme="1"/>
        <rFont val="Calibri"/>
        <family val="2"/>
        <scheme val="minor"/>
      </rPr>
      <t>ix</t>
    </r>
  </si>
  <si>
    <r>
      <t>If the 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 curve is within 15% of the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curve, then R</t>
    </r>
    <r>
      <rPr>
        <vertAlign val="subscript"/>
        <sz val="9"/>
        <color theme="1"/>
        <rFont val="Calibri"/>
        <family val="2"/>
        <scheme val="minor"/>
      </rPr>
      <t xml:space="preserve">aD </t>
    </r>
    <r>
      <rPr>
        <sz val="9"/>
        <color theme="1"/>
        <rFont val="Calibri"/>
        <family val="2"/>
        <scheme val="minor"/>
      </rPr>
      <t>may be used to obtain application ratings for the wetted surface portion of all cooling and dehumidifying coils.</t>
    </r>
  </si>
  <si>
    <r>
      <t>p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 xml:space="preserve"> = p'-[((p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-p')*(t</t>
    </r>
    <r>
      <rPr>
        <vertAlign val="subscript"/>
        <sz val="9"/>
        <color theme="1"/>
        <rFont val="Calibri"/>
        <family val="2"/>
        <scheme val="minor"/>
      </rPr>
      <t>1db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1wb</t>
    </r>
    <r>
      <rPr>
        <sz val="9"/>
        <color theme="1"/>
        <rFont val="Calibri"/>
        <family val="2"/>
        <scheme val="minor"/>
      </rPr>
      <t>))/(2830-(1.44*t</t>
    </r>
    <r>
      <rPr>
        <vertAlign val="subscript"/>
        <sz val="9"/>
        <color theme="1"/>
        <rFont val="Calibri"/>
        <family val="2"/>
        <scheme val="minor"/>
      </rPr>
      <t>1wb</t>
    </r>
    <r>
      <rPr>
        <sz val="9"/>
        <color theme="1"/>
        <rFont val="Calibri"/>
        <family val="2"/>
        <scheme val="minor"/>
      </rPr>
      <t>))]</t>
    </r>
  </si>
  <si>
    <t>Dimensions</t>
  </si>
  <si>
    <r>
      <t>t</t>
    </r>
    <r>
      <rPr>
        <vertAlign val="subscript"/>
        <sz val="9"/>
        <color theme="1"/>
        <rFont val="Calibri"/>
        <family val="2"/>
        <scheme val="minor"/>
      </rPr>
      <t>wm</t>
    </r>
    <r>
      <rPr>
        <sz val="9"/>
        <color theme="1"/>
        <rFont val="Calibri"/>
        <family val="2"/>
        <scheme val="minor"/>
      </rPr>
      <t xml:space="preserve"> = 0.5(t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>+t</t>
    </r>
    <r>
      <rPr>
        <vertAlign val="subscript"/>
        <sz val="9"/>
        <color theme="1"/>
        <rFont val="Calibri"/>
        <family val="2"/>
        <scheme val="minor"/>
      </rPr>
      <t>w2</t>
    </r>
    <r>
      <rPr>
        <sz val="9"/>
        <color theme="1"/>
        <rFont val="Calibri"/>
        <family val="2"/>
        <scheme val="minor"/>
      </rPr>
      <t>)</t>
    </r>
  </si>
  <si>
    <r>
      <t xml:space="preserve">Sensible Heat Ratio                                                                                                                     - If &lt; 0.95, coil surface is all wet or partially dry.                                                                         - If </t>
    </r>
    <r>
      <rPr>
        <sz val="9"/>
        <color theme="1"/>
        <rFont val="Arial"/>
        <family val="2"/>
      </rPr>
      <t>≥</t>
    </r>
    <r>
      <rPr>
        <sz val="9"/>
        <color theme="1"/>
        <rFont val="Calibri"/>
        <family val="2"/>
      </rPr>
      <t xml:space="preserve"> 0.95, coil surface is fully dry.</t>
    </r>
  </si>
  <si>
    <r>
      <t>Ratio = q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/q</t>
    </r>
    <r>
      <rPr>
        <vertAlign val="subscript"/>
        <sz val="9"/>
        <color theme="1"/>
        <rFont val="Calibri"/>
        <family val="2"/>
        <scheme val="minor"/>
      </rPr>
      <t xml:space="preserve">t </t>
    </r>
  </si>
  <si>
    <r>
      <t>R = (A</t>
    </r>
    <r>
      <rPr>
        <vertAlign val="subscript"/>
        <sz val="9"/>
        <color theme="1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>*Δt</t>
    </r>
    <r>
      <rPr>
        <vertAlign val="subscript"/>
        <sz val="9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>)/q</t>
    </r>
    <r>
      <rPr>
        <vertAlign val="subscript"/>
        <sz val="9"/>
        <color theme="1"/>
        <rFont val="Calibri"/>
        <family val="2"/>
        <scheme val="minor"/>
      </rPr>
      <t>s</t>
    </r>
  </si>
  <si>
    <r>
      <t>Density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</si>
  <si>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Specific Heat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</si>
  <si>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Dynamic Viscosity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</si>
  <si>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Thermal Conductivity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</si>
  <si>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Prandtl Number of Water at Mean Water Temp,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</si>
  <si>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= c</t>
    </r>
    <r>
      <rPr>
        <vertAlign val="subscript"/>
        <sz val="9"/>
        <color theme="1"/>
        <rFont val="Calibri"/>
        <family val="2"/>
        <scheme val="minor"/>
      </rPr>
      <t>pw</t>
    </r>
    <r>
      <rPr>
        <sz val="9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/k</t>
    </r>
    <r>
      <rPr>
        <vertAlign val="subscript"/>
        <sz val="9"/>
        <color theme="1"/>
        <rFont val="Calibri"/>
        <family val="2"/>
        <scheme val="minor"/>
      </rPr>
      <t>w</t>
    </r>
  </si>
  <si>
    <r>
      <t>= (c</t>
    </r>
    <r>
      <rPr>
        <vertAlign val="subscript"/>
        <sz val="9"/>
        <color theme="1"/>
        <rFont val="Calibri"/>
        <family val="2"/>
        <scheme val="minor"/>
      </rPr>
      <t>pw</t>
    </r>
    <r>
      <rPr>
        <sz val="9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/k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</t>
    </r>
    <r>
      <rPr>
        <vertAlign val="superscript"/>
        <sz val="9"/>
        <color theme="1"/>
        <rFont val="Calibri"/>
        <family val="2"/>
        <scheme val="minor"/>
      </rPr>
      <t>2/3</t>
    </r>
  </si>
  <si>
    <r>
      <t>Mass Velocity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</si>
  <si>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Reynolds Number of Water at Mean Water Temp., t</t>
    </r>
    <r>
      <rPr>
        <vertAlign val="subscript"/>
        <sz val="9"/>
        <color theme="1"/>
        <rFont val="Calibri"/>
        <family val="2"/>
        <scheme val="minor"/>
      </rPr>
      <t>wm</t>
    </r>
  </si>
  <si>
    <r>
      <t>Re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 xml:space="preserve"> = G</t>
    </r>
    <r>
      <rPr>
        <vertAlign val="subscript"/>
        <sz val="9"/>
        <color theme="1"/>
        <rFont val="Calibri"/>
        <family val="2"/>
        <scheme val="minor"/>
      </rPr>
      <t>w*</t>
    </r>
    <r>
      <rPr>
        <sz val="9"/>
        <color theme="1"/>
        <rFont val="Calibri"/>
        <family val="2"/>
        <scheme val="minor"/>
      </rPr>
      <t>D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/(12*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w</t>
    </r>
    <r>
      <rPr>
        <sz val="9"/>
        <color theme="1"/>
        <rFont val="Calibri"/>
        <family val="2"/>
      </rPr>
      <t>)</t>
    </r>
  </si>
  <si>
    <r>
      <t>Colburn j Factor from Fig. 17 with Re</t>
    </r>
    <r>
      <rPr>
        <vertAlign val="subscript"/>
        <sz val="9"/>
        <color theme="1"/>
        <rFont val="Calibri"/>
        <family val="2"/>
        <scheme val="minor"/>
      </rPr>
      <t xml:space="preserve">w </t>
    </r>
    <r>
      <rPr>
        <sz val="9"/>
        <color theme="1"/>
        <rFont val="Calibri"/>
        <family val="2"/>
        <scheme val="minor"/>
      </rPr>
      <t>and L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/D</t>
    </r>
    <r>
      <rPr>
        <vertAlign val="subscript"/>
        <sz val="9"/>
        <color theme="1"/>
        <rFont val="Calibri"/>
        <family val="2"/>
        <scheme val="minor"/>
      </rPr>
      <t>i</t>
    </r>
  </si>
  <si>
    <r>
      <t>Initial Estimate Dynamic Viscosity Ratio (VR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>)   For water cooling coils use initial estimate of 0.98 and for water heating coils use initial estimate of 1.03</t>
    </r>
  </si>
  <si>
    <r>
      <t>j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*c</t>
    </r>
    <r>
      <rPr>
        <vertAlign val="subscript"/>
        <sz val="9"/>
        <color theme="1"/>
        <rFont val="Calibri"/>
        <family val="2"/>
        <scheme val="minor"/>
      </rPr>
      <t>pw</t>
    </r>
    <r>
      <rPr>
        <sz val="9"/>
        <color theme="1"/>
        <rFont val="Calibri"/>
        <family val="2"/>
        <scheme val="minor"/>
      </rPr>
      <t>*G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/(Pr</t>
    </r>
    <r>
      <rPr>
        <vertAlign val="subscript"/>
        <sz val="9"/>
        <color theme="1"/>
        <rFont val="Calibri"/>
        <family val="2"/>
        <scheme val="minor"/>
      </rPr>
      <t>w</t>
    </r>
    <r>
      <rPr>
        <vertAlign val="superscript"/>
        <sz val="9"/>
        <color theme="1"/>
        <rFont val="Calibri"/>
        <family val="2"/>
        <scheme val="minor"/>
      </rPr>
      <t>2/3</t>
    </r>
    <r>
      <rPr>
        <sz val="9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tw</t>
    </r>
    <r>
      <rPr>
        <sz val="9"/>
        <color theme="1"/>
        <rFont val="Calibri"/>
        <family val="2"/>
        <scheme val="minor"/>
      </rPr>
      <t>/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w</t>
    </r>
    <r>
      <rPr>
        <vertAlign val="superscript"/>
        <sz val="9"/>
        <color theme="1"/>
        <rFont val="Calibri"/>
        <family val="2"/>
        <scheme val="minor"/>
      </rPr>
      <t>0.14</t>
    </r>
    <r>
      <rPr>
        <sz val="9"/>
        <color theme="1"/>
        <rFont val="Calibri"/>
        <family val="2"/>
        <scheme val="minor"/>
      </rPr>
      <t>)</t>
    </r>
  </si>
  <si>
    <r>
      <t>B/f</t>
    </r>
    <r>
      <rPr>
        <vertAlign val="subscript"/>
        <sz val="9"/>
        <color theme="1"/>
        <rFont val="Calibri"/>
        <family val="2"/>
        <scheme val="minor"/>
      </rPr>
      <t>w(init)</t>
    </r>
  </si>
  <si>
    <r>
      <t>t</t>
    </r>
    <r>
      <rPr>
        <vertAlign val="subscript"/>
        <sz val="9"/>
        <color theme="1"/>
        <rFont val="Calibri"/>
        <family val="2"/>
        <scheme val="minor"/>
      </rPr>
      <t>twm</t>
    </r>
    <r>
      <rPr>
        <sz val="9"/>
        <color theme="1"/>
        <rFont val="Calibri"/>
        <family val="2"/>
        <scheme val="minor"/>
      </rPr>
      <t xml:space="preserve"> = t</t>
    </r>
    <r>
      <rPr>
        <vertAlign val="subscript"/>
        <sz val="9"/>
        <color theme="1"/>
        <rFont val="Calibri"/>
        <family val="2"/>
        <scheme val="minor"/>
      </rPr>
      <t>wm</t>
    </r>
    <r>
      <rPr>
        <sz val="9"/>
        <color theme="1"/>
        <rFont val="Calibri"/>
        <family val="2"/>
        <scheme val="minor"/>
      </rPr>
      <t xml:space="preserve"> + (R</t>
    </r>
    <r>
      <rPr>
        <vertAlign val="subscript"/>
        <sz val="9"/>
        <color theme="1"/>
        <rFont val="Calibri"/>
        <family val="2"/>
        <scheme val="minor"/>
      </rPr>
      <t>w(init)</t>
    </r>
    <r>
      <rPr>
        <sz val="9"/>
        <color theme="1"/>
        <rFont val="Calibri"/>
        <family val="2"/>
        <scheme val="minor"/>
      </rPr>
      <t>/R)*</t>
    </r>
    <r>
      <rPr>
        <sz val="9"/>
        <color theme="1"/>
        <rFont val="Calibri"/>
        <family val="2"/>
      </rPr>
      <t>Δ</t>
    </r>
    <r>
      <rPr>
        <sz val="9"/>
        <color theme="1"/>
        <rFont val="Calibri"/>
        <family val="2"/>
        <scheme val="minor"/>
      </rPr>
      <t>t</t>
    </r>
    <r>
      <rPr>
        <vertAlign val="subscript"/>
        <sz val="9"/>
        <color theme="1"/>
        <rFont val="Calibri"/>
        <family val="2"/>
        <scheme val="minor"/>
      </rPr>
      <t>m</t>
    </r>
  </si>
  <si>
    <r>
      <t>Dynamic Viscosity of Water at Tube Wall Temp., t</t>
    </r>
    <r>
      <rPr>
        <vertAlign val="subscript"/>
        <sz val="9"/>
        <color theme="1"/>
        <rFont val="Calibri"/>
        <family val="2"/>
        <scheme val="minor"/>
      </rPr>
      <t>twm</t>
    </r>
  </si>
  <si>
    <r>
      <t>R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 xml:space="preserve"> = B/2000</t>
    </r>
  </si>
  <si>
    <r>
      <t>f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= 1/R</t>
    </r>
    <r>
      <rPr>
        <vertAlign val="subscript"/>
        <sz val="9"/>
        <color theme="1"/>
        <rFont val="Calibri"/>
        <family val="2"/>
        <scheme val="minor"/>
      </rPr>
      <t>aD</t>
    </r>
  </si>
  <si>
    <r>
      <t>h</t>
    </r>
    <r>
      <rPr>
        <vertAlign val="subscript"/>
        <sz val="9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 xml:space="preserve"> = 0.5(h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+h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</si>
  <si>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t>= (R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+R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)/(0.243*R</t>
    </r>
    <r>
      <rPr>
        <vertAlign val="subscript"/>
        <sz val="9"/>
        <rFont val="Calibri"/>
        <family val="2"/>
        <scheme val="minor"/>
      </rPr>
      <t>aw</t>
    </r>
    <r>
      <rPr>
        <sz val="9"/>
        <rFont val="Calibri"/>
        <family val="2"/>
        <scheme val="minor"/>
      </rPr>
      <t>)</t>
    </r>
  </si>
  <si>
    <r>
      <t>f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 = (m"/c</t>
    </r>
    <r>
      <rPr>
        <vertAlign val="subscript"/>
        <sz val="9"/>
        <color theme="1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>)/R</t>
    </r>
    <r>
      <rPr>
        <vertAlign val="subscript"/>
        <sz val="9"/>
        <color theme="1"/>
        <rFont val="Calibri"/>
        <family val="2"/>
        <scheme val="minor"/>
      </rPr>
      <t>aW</t>
    </r>
  </si>
  <si>
    <r>
      <t>C = (R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mW</t>
    </r>
    <r>
      <rPr>
        <sz val="9"/>
        <color theme="1"/>
        <rFont val="Calibri"/>
        <family val="2"/>
        <scheme val="minor"/>
      </rPr>
      <t>)/(0.243*R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</si>
  <si>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>Calculated Dynamic Viscosity Ratio (VR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>)  If 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 xml:space="preserve"> is </t>
    </r>
    <r>
      <rPr>
        <b/>
        <u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within 2 % of VR</t>
    </r>
    <r>
      <rPr>
        <vertAlign val="subscript"/>
        <sz val="9"/>
        <color theme="1"/>
        <rFont val="Calibri"/>
        <family val="2"/>
        <scheme val="minor"/>
      </rPr>
      <t xml:space="preserve">calc </t>
    </r>
    <r>
      <rPr>
        <sz val="9"/>
        <color theme="1"/>
        <rFont val="Calibri"/>
        <family val="2"/>
        <scheme val="minor"/>
      </rPr>
      <t>, use 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 xml:space="preserve"> as new 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 xml:space="preserve"> and recalculate starting at Item 39.    Otherwise, procede to Item 63</t>
    </r>
  </si>
  <si>
    <r>
      <t>From Psychrometric Chart with Ps, 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, and t</t>
    </r>
    <r>
      <rPr>
        <vertAlign val="subscript"/>
        <sz val="9"/>
        <rFont val="Calibri"/>
        <family val="2"/>
        <scheme val="minor"/>
      </rPr>
      <t>1wb</t>
    </r>
  </si>
  <si>
    <r>
      <t>Where: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= Air Pressure. p' = Sat. Vapor Press. at t</t>
    </r>
    <r>
      <rPr>
        <vertAlign val="subscript"/>
        <sz val="9"/>
        <color theme="1"/>
        <rFont val="Calibri"/>
        <family val="2"/>
        <scheme val="minor"/>
      </rPr>
      <t xml:space="preserve">1wb </t>
    </r>
    <r>
      <rPr>
        <sz val="9"/>
        <color theme="1"/>
        <rFont val="Calibri"/>
        <family val="2"/>
        <scheme val="minor"/>
      </rPr>
      <t>from steam tables. P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 xml:space="preserve"> = Saturation Vapor Press. at Dew Point Temp.</t>
    </r>
  </si>
  <si>
    <r>
      <t>Note: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= Dew Point Temp. is Saturation Temp. Corresponding to Saturation Vapor Pressure, p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>, from Steam Tables.</t>
    </r>
  </si>
  <si>
    <r>
      <t>Saturated Air Enthalpy at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and t</t>
    </r>
    <r>
      <rPr>
        <vertAlign val="subscript"/>
        <sz val="9"/>
        <color theme="1"/>
        <rFont val="Calibri"/>
        <family val="2"/>
        <scheme val="minor"/>
      </rPr>
      <t>s1</t>
    </r>
  </si>
  <si>
    <r>
      <t>Saturated Air Enthalpy at 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 xml:space="preserve"> and t</t>
    </r>
    <r>
      <rPr>
        <vertAlign val="subscript"/>
        <sz val="9"/>
        <color theme="1"/>
        <rFont val="Calibri"/>
        <family val="2"/>
        <scheme val="minor"/>
      </rPr>
      <t>s2</t>
    </r>
  </si>
  <si>
    <r>
      <t>Will equal ΔP</t>
    </r>
    <r>
      <rPr>
        <vertAlign val="subscript"/>
        <sz val="9"/>
        <color theme="1"/>
        <rFont val="Calibri"/>
        <family val="2"/>
        <scheme val="minor"/>
      </rPr>
      <t>st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r</t>
    </r>
  </si>
  <si>
    <r>
      <t>Will equal ΔP</t>
    </r>
    <r>
      <rPr>
        <vertAlign val="subscript"/>
        <sz val="9"/>
        <color theme="1"/>
        <rFont val="Calibri"/>
        <family val="2"/>
        <scheme val="minor"/>
      </rPr>
      <t>sW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r</t>
    </r>
  </si>
  <si>
    <r>
      <t xml:space="preserve"> = (w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)/(62.361*</t>
    </r>
    <r>
      <rPr>
        <sz val="9"/>
        <color theme="1"/>
        <rFont val="Calibri"/>
        <family val="2"/>
      </rPr>
      <t>3600*</t>
    </r>
    <r>
      <rPr>
        <sz val="9"/>
        <color theme="1"/>
        <rFont val="Calibri"/>
        <family val="2"/>
        <scheme val="minor"/>
      </rPr>
      <t>A</t>
    </r>
    <r>
      <rPr>
        <vertAlign val="subscript"/>
        <sz val="9"/>
        <color theme="1"/>
        <rFont val="Calibri"/>
        <family val="2"/>
        <scheme val="minor"/>
      </rPr>
      <t>ix</t>
    </r>
    <r>
      <rPr>
        <sz val="9"/>
        <color theme="1"/>
        <rFont val="Calibri"/>
        <family val="2"/>
        <scheme val="minor"/>
      </rPr>
      <t>)</t>
    </r>
  </si>
  <si>
    <r>
      <t>=  (</t>
    </r>
    <r>
      <rPr>
        <sz val="9"/>
        <rFont val="Calibri"/>
        <family val="2"/>
      </rPr>
      <t>π</t>
    </r>
    <r>
      <rPr>
        <sz val="9"/>
        <rFont val="Calibri"/>
        <family val="2"/>
        <scheme val="minor"/>
      </rPr>
      <t>/4)*(D</t>
    </r>
    <r>
      <rPr>
        <vertAlign val="subscript"/>
        <sz val="9"/>
        <rFont val="Cambria"/>
        <family val="1"/>
        <scheme val="major"/>
      </rPr>
      <t>i</t>
    </r>
    <r>
      <rPr>
        <sz val="9"/>
        <rFont val="Calibri"/>
        <family val="2"/>
        <scheme val="minor"/>
      </rPr>
      <t>/12)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*Nc</t>
    </r>
  </si>
  <si>
    <t>Approx. Air-Side Heat Transfer Coefficient for Wet Surface</t>
  </si>
  <si>
    <r>
      <t>A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=(0.243*R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*q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)/Δh</t>
    </r>
    <r>
      <rPr>
        <vertAlign val="subscript"/>
        <sz val="9"/>
        <color theme="1"/>
        <rFont val="Calibri"/>
        <family val="2"/>
        <scheme val="minor"/>
      </rPr>
      <t>m</t>
    </r>
  </si>
  <si>
    <r>
      <t>Calculated Dynamic Viscosity Ratio (VR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>)  If 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 xml:space="preserve"> is </t>
    </r>
    <r>
      <rPr>
        <b/>
        <u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within 2 % of VR</t>
    </r>
    <r>
      <rPr>
        <vertAlign val="subscript"/>
        <sz val="9"/>
        <color theme="1"/>
        <rFont val="Calibri"/>
        <family val="2"/>
        <scheme val="minor"/>
      </rPr>
      <t xml:space="preserve">calc </t>
    </r>
    <r>
      <rPr>
        <sz val="9"/>
        <color theme="1"/>
        <rFont val="Calibri"/>
        <family val="2"/>
        <scheme val="minor"/>
      </rPr>
      <t>, use 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 xml:space="preserve"> as new 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 xml:space="preserve"> and recalculate starting with Item 39. Otherwise, procede to next step</t>
    </r>
  </si>
  <si>
    <r>
      <t>Air Film Thermal Resistance for Wet Surface                                                  Note: Assume this value for trial and error solution.  Suggest initial value should be same as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>.</t>
    </r>
  </si>
  <si>
    <r>
      <t>A</t>
    </r>
    <r>
      <rPr>
        <vertAlign val="subscript"/>
        <sz val="10"/>
        <color theme="1"/>
        <rFont val="Calibri"/>
        <family val="2"/>
        <scheme val="minor"/>
      </rPr>
      <t>o</t>
    </r>
  </si>
  <si>
    <r>
      <t>D</t>
    </r>
    <r>
      <rPr>
        <vertAlign val="subscript"/>
        <sz val="10"/>
        <color theme="1"/>
        <rFont val="Calibri"/>
        <family val="2"/>
        <scheme val="minor"/>
      </rPr>
      <t>i</t>
    </r>
  </si>
  <si>
    <r>
      <t>N</t>
    </r>
    <r>
      <rPr>
        <vertAlign val="subscript"/>
        <sz val="10"/>
        <color theme="1"/>
        <rFont val="Calibri"/>
        <family val="2"/>
        <scheme val="minor"/>
      </rPr>
      <t>c</t>
    </r>
  </si>
  <si>
    <r>
      <t>A</t>
    </r>
    <r>
      <rPr>
        <vertAlign val="subscript"/>
        <sz val="10"/>
        <color theme="1"/>
        <rFont val="Calibri"/>
        <family val="2"/>
        <scheme val="minor"/>
      </rPr>
      <t>ix</t>
    </r>
  </si>
  <si>
    <r>
      <t>N</t>
    </r>
    <r>
      <rPr>
        <vertAlign val="subscript"/>
        <sz val="10"/>
        <color theme="1"/>
        <rFont val="Calibri"/>
        <family val="2"/>
        <scheme val="minor"/>
      </rPr>
      <t>r</t>
    </r>
  </si>
  <si>
    <r>
      <t>L</t>
    </r>
    <r>
      <rPr>
        <vertAlign val="subscript"/>
        <sz val="10"/>
        <rFont val="Calibri"/>
        <family val="2"/>
        <scheme val="minor"/>
      </rPr>
      <t>s</t>
    </r>
  </si>
  <si>
    <r>
      <t>L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>/D</t>
    </r>
    <r>
      <rPr>
        <vertAlign val="subscript"/>
        <sz val="10"/>
        <rFont val="Calibri"/>
        <family val="2"/>
        <scheme val="minor"/>
      </rPr>
      <t>i</t>
    </r>
  </si>
  <si>
    <r>
      <t>P</t>
    </r>
    <r>
      <rPr>
        <vertAlign val="subscript"/>
        <sz val="10"/>
        <color theme="1"/>
        <rFont val="Calibri"/>
        <family val="2"/>
        <scheme val="minor"/>
      </rPr>
      <t>s</t>
    </r>
  </si>
  <si>
    <r>
      <t>t</t>
    </r>
    <r>
      <rPr>
        <vertAlign val="subscript"/>
        <sz val="10"/>
        <color theme="1"/>
        <rFont val="Calibri"/>
        <family val="2"/>
        <scheme val="minor"/>
      </rPr>
      <t>1db</t>
    </r>
  </si>
  <si>
    <r>
      <t>t</t>
    </r>
    <r>
      <rPr>
        <vertAlign val="subscript"/>
        <sz val="10"/>
        <color theme="1"/>
        <rFont val="Calibri"/>
        <family val="2"/>
        <scheme val="minor"/>
      </rPr>
      <t>1wb</t>
    </r>
  </si>
  <si>
    <r>
      <t>h</t>
    </r>
    <r>
      <rPr>
        <vertAlign val="subscript"/>
        <sz val="10"/>
        <color theme="1"/>
        <rFont val="Calibri"/>
        <family val="2"/>
        <scheme val="minor"/>
      </rPr>
      <t>1</t>
    </r>
  </si>
  <si>
    <r>
      <t>t</t>
    </r>
    <r>
      <rPr>
        <vertAlign val="subscript"/>
        <sz val="10"/>
        <rFont val="Calibri"/>
        <family val="2"/>
        <scheme val="minor"/>
      </rPr>
      <t>2db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</si>
  <si>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</si>
  <si>
    <r>
      <t>t</t>
    </r>
    <r>
      <rPr>
        <vertAlign val="subscript"/>
        <sz val="10"/>
        <color theme="1"/>
        <rFont val="Calibri"/>
        <family val="2"/>
        <scheme val="minor"/>
      </rPr>
      <t>w1</t>
    </r>
  </si>
  <si>
    <r>
      <t>t</t>
    </r>
    <r>
      <rPr>
        <vertAlign val="subscript"/>
        <sz val="10"/>
        <color theme="1"/>
        <rFont val="Calibri"/>
        <family val="2"/>
        <scheme val="minor"/>
      </rPr>
      <t>w2</t>
    </r>
  </si>
  <si>
    <r>
      <t>w</t>
    </r>
    <r>
      <rPr>
        <vertAlign val="subscript"/>
        <sz val="10"/>
        <color theme="1"/>
        <rFont val="Calibri"/>
        <family val="2"/>
        <scheme val="minor"/>
      </rPr>
      <t>w</t>
    </r>
  </si>
  <si>
    <r>
      <t>t</t>
    </r>
    <r>
      <rPr>
        <vertAlign val="subscript"/>
        <sz val="10"/>
        <rFont val="Calibri"/>
        <family val="2"/>
        <scheme val="minor"/>
      </rPr>
      <t>vmg</t>
    </r>
  </si>
  <si>
    <r>
      <t>q</t>
    </r>
    <r>
      <rPr>
        <vertAlign val="subscript"/>
        <sz val="10"/>
        <color theme="1"/>
        <rFont val="Calibri"/>
        <family val="2"/>
        <scheme val="minor"/>
      </rPr>
      <t>s</t>
    </r>
  </si>
  <si>
    <r>
      <t>q</t>
    </r>
    <r>
      <rPr>
        <vertAlign val="subscript"/>
        <sz val="10"/>
        <rFont val="Calibri"/>
        <family val="2"/>
        <scheme val="minor"/>
      </rPr>
      <t>t</t>
    </r>
  </si>
  <si>
    <r>
      <t>v</t>
    </r>
    <r>
      <rPr>
        <vertAlign val="subscript"/>
        <sz val="10"/>
        <color theme="1"/>
        <rFont val="Calibri"/>
        <family val="2"/>
        <scheme val="minor"/>
      </rPr>
      <t>a</t>
    </r>
  </si>
  <si>
    <r>
      <t>t</t>
    </r>
    <r>
      <rPr>
        <vertAlign val="subscript"/>
        <sz val="10"/>
        <color theme="1"/>
        <rFont val="Calibri"/>
        <family val="2"/>
        <scheme val="minor"/>
      </rPr>
      <t>wm</t>
    </r>
  </si>
  <si>
    <r>
      <t>ΔP</t>
    </r>
    <r>
      <rPr>
        <vertAlign val="subscript"/>
        <sz val="10"/>
        <color theme="1"/>
        <rFont val="Calibri"/>
        <family val="2"/>
        <scheme val="minor"/>
      </rPr>
      <t>st</t>
    </r>
  </si>
  <si>
    <r>
      <t>ΔP</t>
    </r>
    <r>
      <rPr>
        <vertAlign val="subscript"/>
        <sz val="10"/>
        <color theme="1"/>
        <rFont val="Calibri"/>
        <family val="2"/>
        <scheme val="minor"/>
      </rPr>
      <t>sW</t>
    </r>
  </si>
  <si>
    <r>
      <t>q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>/q</t>
    </r>
    <r>
      <rPr>
        <vertAlign val="subscript"/>
        <sz val="10"/>
        <color theme="1"/>
        <rFont val="Calibri"/>
        <family val="2"/>
        <scheme val="minor"/>
      </rPr>
      <t>t</t>
    </r>
  </si>
  <si>
    <r>
      <t>V</t>
    </r>
    <r>
      <rPr>
        <vertAlign val="subscript"/>
        <sz val="10"/>
        <color theme="1"/>
        <rFont val="Calibri"/>
        <family val="2"/>
        <scheme val="minor"/>
      </rPr>
      <t>w</t>
    </r>
  </si>
  <si>
    <r>
      <t>Δt</t>
    </r>
    <r>
      <rPr>
        <vertAlign val="subscript"/>
        <sz val="10"/>
        <color theme="1"/>
        <rFont val="Calibri"/>
        <family val="2"/>
        <scheme val="minor"/>
      </rPr>
      <t>m</t>
    </r>
  </si>
  <si>
    <r>
      <t>ρ</t>
    </r>
    <r>
      <rPr>
        <vertAlign val="subscript"/>
        <sz val="10"/>
        <color theme="1"/>
        <rFont val="Calibri"/>
        <family val="2"/>
      </rPr>
      <t>w</t>
    </r>
  </si>
  <si>
    <r>
      <t>c</t>
    </r>
    <r>
      <rPr>
        <vertAlign val="subscript"/>
        <sz val="10"/>
        <color theme="1"/>
        <rFont val="Calibri"/>
        <family val="2"/>
        <scheme val="minor"/>
      </rPr>
      <t>pw</t>
    </r>
  </si>
  <si>
    <r>
      <t>μ</t>
    </r>
    <r>
      <rPr>
        <vertAlign val="subscript"/>
        <sz val="10"/>
        <color theme="1"/>
        <rFont val="Calibri"/>
        <family val="2"/>
        <scheme val="minor"/>
      </rPr>
      <t>w</t>
    </r>
  </si>
  <si>
    <r>
      <t>Pr</t>
    </r>
    <r>
      <rPr>
        <vertAlign val="subscript"/>
        <sz val="10"/>
        <color theme="1"/>
        <rFont val="Calibri"/>
        <family val="2"/>
        <scheme val="minor"/>
      </rPr>
      <t>w</t>
    </r>
  </si>
  <si>
    <r>
      <t>Pr</t>
    </r>
    <r>
      <rPr>
        <vertAlign val="subscript"/>
        <sz val="10"/>
        <color theme="1"/>
        <rFont val="Calibri"/>
        <family val="2"/>
        <scheme val="minor"/>
      </rPr>
      <t>w</t>
    </r>
    <r>
      <rPr>
        <vertAlign val="superscript"/>
        <sz val="10"/>
        <color theme="1"/>
        <rFont val="Calibri"/>
        <family val="2"/>
        <scheme val="minor"/>
      </rPr>
      <t>2/3</t>
    </r>
  </si>
  <si>
    <r>
      <t>G</t>
    </r>
    <r>
      <rPr>
        <vertAlign val="subscript"/>
        <sz val="10"/>
        <color theme="1"/>
        <rFont val="Calibri"/>
        <family val="2"/>
        <scheme val="minor"/>
      </rPr>
      <t>w</t>
    </r>
  </si>
  <si>
    <r>
      <t>Re</t>
    </r>
    <r>
      <rPr>
        <vertAlign val="subscript"/>
        <sz val="10"/>
        <color theme="1"/>
        <rFont val="Calibri"/>
        <family val="2"/>
        <scheme val="minor"/>
      </rPr>
      <t>w</t>
    </r>
  </si>
  <si>
    <r>
      <t>j</t>
    </r>
    <r>
      <rPr>
        <vertAlign val="subscript"/>
        <sz val="10"/>
        <color theme="1"/>
        <rFont val="Calibri"/>
        <family val="2"/>
        <scheme val="minor"/>
      </rPr>
      <t>w</t>
    </r>
  </si>
  <si>
    <r>
      <t>f</t>
    </r>
    <r>
      <rPr>
        <vertAlign val="subscript"/>
        <sz val="10"/>
        <color theme="1"/>
        <rFont val="Calibri"/>
        <family val="2"/>
        <scheme val="minor"/>
      </rPr>
      <t>w(init)</t>
    </r>
  </si>
  <si>
    <r>
      <t>R</t>
    </r>
    <r>
      <rPr>
        <vertAlign val="subscript"/>
        <sz val="10"/>
        <color theme="1"/>
        <rFont val="Calibri"/>
        <family val="2"/>
        <scheme val="minor"/>
      </rPr>
      <t>w(init)</t>
    </r>
  </si>
  <si>
    <r>
      <t>t</t>
    </r>
    <r>
      <rPr>
        <vertAlign val="subscript"/>
        <sz val="10"/>
        <color theme="1"/>
        <rFont val="Calibri"/>
        <family val="2"/>
        <scheme val="minor"/>
      </rPr>
      <t>twm</t>
    </r>
  </si>
  <si>
    <r>
      <t>μ</t>
    </r>
    <r>
      <rPr>
        <vertAlign val="subscript"/>
        <sz val="10"/>
        <color theme="1"/>
        <rFont val="Calibri"/>
        <family val="2"/>
      </rPr>
      <t>twm</t>
    </r>
  </si>
  <si>
    <r>
      <t>R</t>
    </r>
    <r>
      <rPr>
        <vertAlign val="subscript"/>
        <sz val="10"/>
        <rFont val="Calibri"/>
        <family val="2"/>
        <scheme val="minor"/>
      </rPr>
      <t>w</t>
    </r>
  </si>
  <si>
    <r>
      <t>R</t>
    </r>
    <r>
      <rPr>
        <vertAlign val="subscript"/>
        <sz val="10"/>
        <rFont val="Calibri"/>
        <family val="2"/>
        <scheme val="minor"/>
      </rPr>
      <t>aD</t>
    </r>
    <r>
      <rPr>
        <sz val="10"/>
        <rFont val="Calibri"/>
        <family val="2"/>
        <scheme val="minor"/>
      </rPr>
      <t xml:space="preserve">    +       R</t>
    </r>
    <r>
      <rPr>
        <vertAlign val="subscript"/>
        <sz val="10"/>
        <rFont val="Calibri"/>
        <family val="2"/>
        <scheme val="minor"/>
      </rPr>
      <t>mD</t>
    </r>
  </si>
  <si>
    <r>
      <t>R</t>
    </r>
    <r>
      <rPr>
        <vertAlign val="subscript"/>
        <sz val="10"/>
        <color theme="1"/>
        <rFont val="Calibri"/>
        <family val="2"/>
        <scheme val="minor"/>
      </rPr>
      <t>aD</t>
    </r>
  </si>
  <si>
    <r>
      <t>f</t>
    </r>
    <r>
      <rPr>
        <vertAlign val="subscript"/>
        <sz val="10"/>
        <color theme="1"/>
        <rFont val="Calibri"/>
        <family val="2"/>
        <scheme val="minor"/>
      </rPr>
      <t>aD</t>
    </r>
  </si>
  <si>
    <r>
      <t>R</t>
    </r>
    <r>
      <rPr>
        <vertAlign val="subscript"/>
        <sz val="10"/>
        <color theme="1"/>
        <rFont val="Calibri"/>
        <family val="2"/>
        <scheme val="minor"/>
      </rPr>
      <t>mD</t>
    </r>
  </si>
  <si>
    <r>
      <t>h</t>
    </r>
    <r>
      <rPr>
        <vertAlign val="subscript"/>
        <sz val="10"/>
        <color theme="1"/>
        <rFont val="Calibri"/>
        <family val="2"/>
        <scheme val="minor"/>
      </rPr>
      <t>m</t>
    </r>
  </si>
  <si>
    <r>
      <t>t</t>
    </r>
    <r>
      <rPr>
        <vertAlign val="subscript"/>
        <sz val="10"/>
        <color theme="1"/>
        <rFont val="Calibri"/>
        <family val="2"/>
        <scheme val="minor"/>
      </rPr>
      <t>sm</t>
    </r>
  </si>
  <si>
    <r>
      <t>R</t>
    </r>
    <r>
      <rPr>
        <vertAlign val="subscript"/>
        <sz val="10"/>
        <color theme="1"/>
        <rFont val="Calibri"/>
        <family val="2"/>
        <scheme val="minor"/>
      </rPr>
      <t>aW</t>
    </r>
  </si>
  <si>
    <r>
      <t>f</t>
    </r>
    <r>
      <rPr>
        <vertAlign val="subscript"/>
        <sz val="10"/>
        <color theme="1"/>
        <rFont val="Calibri"/>
        <family val="2"/>
        <scheme val="minor"/>
      </rPr>
      <t>aW</t>
    </r>
  </si>
  <si>
    <r>
      <t>R</t>
    </r>
    <r>
      <rPr>
        <vertAlign val="subscript"/>
        <sz val="10"/>
        <color theme="1"/>
        <rFont val="Calibri"/>
        <family val="2"/>
        <scheme val="minor"/>
      </rPr>
      <t>mW</t>
    </r>
  </si>
  <si>
    <r>
      <t>t</t>
    </r>
    <r>
      <rPr>
        <vertAlign val="subscript"/>
        <sz val="10"/>
        <rFont val="Calibri"/>
        <family val="2"/>
        <scheme val="minor"/>
      </rPr>
      <t>1dp</t>
    </r>
  </si>
  <si>
    <r>
      <t>t</t>
    </r>
    <r>
      <rPr>
        <vertAlign val="subscript"/>
        <sz val="10"/>
        <color theme="1"/>
        <rFont val="Calibri"/>
        <family val="2"/>
        <scheme val="minor"/>
      </rPr>
      <t>s1</t>
    </r>
  </si>
  <si>
    <r>
      <t>h</t>
    </r>
    <r>
      <rPr>
        <vertAlign val="subscript"/>
        <sz val="10"/>
        <color theme="1"/>
        <rFont val="Calibri"/>
        <family val="2"/>
        <scheme val="minor"/>
      </rPr>
      <t>s1</t>
    </r>
  </si>
  <si>
    <r>
      <t>t</t>
    </r>
    <r>
      <rPr>
        <vertAlign val="subscript"/>
        <sz val="10"/>
        <color theme="1"/>
        <rFont val="Calibri"/>
        <family val="2"/>
        <scheme val="minor"/>
      </rPr>
      <t>s2</t>
    </r>
  </si>
  <si>
    <r>
      <t>h</t>
    </r>
    <r>
      <rPr>
        <vertAlign val="subscript"/>
        <sz val="10"/>
        <color theme="1"/>
        <rFont val="Calibri"/>
        <family val="2"/>
        <scheme val="minor"/>
      </rPr>
      <t>s2</t>
    </r>
  </si>
  <si>
    <r>
      <t>Δh</t>
    </r>
    <r>
      <rPr>
        <vertAlign val="subscript"/>
        <sz val="10"/>
        <color theme="1"/>
        <rFont val="Calibri"/>
        <family val="2"/>
        <scheme val="minor"/>
      </rPr>
      <t>m</t>
    </r>
  </si>
  <si>
    <r>
      <t>A</t>
    </r>
    <r>
      <rPr>
        <vertAlign val="subscript"/>
        <sz val="10"/>
        <color theme="1"/>
        <rFont val="Calibri"/>
        <family val="2"/>
        <scheme val="minor"/>
      </rPr>
      <t>c</t>
    </r>
  </si>
  <si>
    <r>
      <t>ft</t>
    </r>
    <r>
      <rPr>
        <vertAlign val="superscript"/>
        <sz val="8"/>
        <color theme="1"/>
        <rFont val="Calibri"/>
        <family val="2"/>
        <scheme val="minor"/>
      </rPr>
      <t>2</t>
    </r>
  </si>
  <si>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  <scheme val="minor"/>
      </rPr>
      <t>F</t>
    </r>
  </si>
  <si>
    <r>
      <t>in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O</t>
    </r>
  </si>
  <si>
    <r>
      <t>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 /Btu</t>
    </r>
  </si>
  <si>
    <r>
      <t>lb/ft</t>
    </r>
    <r>
      <rPr>
        <vertAlign val="superscript"/>
        <sz val="8"/>
        <color theme="1"/>
        <rFont val="Calibri"/>
        <family val="2"/>
        <scheme val="minor"/>
      </rPr>
      <t>3</t>
    </r>
  </si>
  <si>
    <r>
      <t>Btu/lb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</si>
  <si>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lb/ft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h</t>
    </r>
  </si>
  <si>
    <r>
      <t>Btu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ft/ 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</si>
  <si>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lb/h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</si>
  <si>
    <r>
      <t>Btu/ h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·°</t>
    </r>
    <r>
      <rPr>
        <sz val="8"/>
        <color theme="1"/>
        <rFont val="Calibri"/>
        <family val="2"/>
        <scheme val="minor"/>
      </rPr>
      <t>F</t>
    </r>
  </si>
  <si>
    <r>
      <t>lb</t>
    </r>
    <r>
      <rPr>
        <sz val="8"/>
        <color theme="1"/>
        <rFont val="Calibri"/>
        <family val="2"/>
      </rPr>
      <t>·</t>
    </r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</rPr>
      <t>F /Btu</t>
    </r>
  </si>
  <si>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</rPr>
      <t>F</t>
    </r>
  </si>
  <si>
    <r>
      <t>In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 /Row</t>
    </r>
  </si>
  <si>
    <t>Numerical Input and Formulas</t>
  </si>
  <si>
    <t>Test Run 1</t>
  </si>
  <si>
    <t>Test Run 2</t>
  </si>
  <si>
    <t>Test Run 3</t>
  </si>
  <si>
    <t>Test Run 4</t>
  </si>
  <si>
    <r>
      <t>(μ</t>
    </r>
    <r>
      <rPr>
        <vertAlign val="subscript"/>
        <sz val="10"/>
        <color theme="1"/>
        <rFont val="Calibri"/>
        <family val="2"/>
        <scheme val="minor"/>
      </rPr>
      <t>tw</t>
    </r>
    <r>
      <rPr>
        <sz val="10"/>
        <color theme="1"/>
        <rFont val="Calibri"/>
        <family val="2"/>
        <scheme val="minor"/>
      </rPr>
      <t xml:space="preserve">/ </t>
    </r>
    <r>
      <rPr>
        <sz val="10"/>
        <color theme="1"/>
        <rFont val="Calibri"/>
        <family val="2"/>
      </rPr>
      <t>μ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>)</t>
    </r>
    <r>
      <rPr>
        <vertAlign val="superscript"/>
        <sz val="10"/>
        <color theme="1"/>
        <rFont val="Calibri"/>
        <family val="2"/>
      </rPr>
      <t>.14</t>
    </r>
    <r>
      <rPr>
        <sz val="10"/>
        <color theme="1"/>
        <rFont val="Calibri"/>
        <family val="2"/>
      </rPr>
      <t xml:space="preserve"> calc</t>
    </r>
  </si>
  <si>
    <t>Date:</t>
  </si>
  <si>
    <t>Company:</t>
  </si>
  <si>
    <r>
      <t>Δt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= (t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) /
(ln((t</t>
    </r>
    <r>
      <rPr>
        <vertAlign val="subscript"/>
        <sz val="9"/>
        <rFont val="Calibri"/>
        <family val="2"/>
        <scheme val="minor"/>
      </rPr>
      <t>vmg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)/(t</t>
    </r>
    <r>
      <rPr>
        <vertAlign val="subscript"/>
        <sz val="9"/>
        <rFont val="Calibri"/>
        <family val="2"/>
        <scheme val="minor"/>
      </rPr>
      <t>vmg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)))</t>
    </r>
  </si>
  <si>
    <r>
      <t>Δt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= 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)-(t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>))/
(ln((t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)/(t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>)))</t>
    </r>
  </si>
  <si>
    <r>
      <t>Δt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 xml:space="preserve"> = ((t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)-(t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))/
(ln((t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>)/(t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>-t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>)))</t>
    </r>
  </si>
  <si>
    <t xml:space="preserve"> </t>
  </si>
  <si>
    <t>Select Coil Type Above</t>
  </si>
  <si>
    <t>12*</t>
  </si>
  <si>
    <t>23*</t>
  </si>
  <si>
    <r>
      <t xml:space="preserve"> t</t>
    </r>
    <r>
      <rPr>
        <vertAlign val="subscript"/>
        <sz val="9"/>
        <color theme="1"/>
        <rFont val="Calibri"/>
        <family val="2"/>
        <scheme val="minor"/>
      </rPr>
      <t>wm</t>
    </r>
    <r>
      <rPr>
        <sz val="9"/>
        <color theme="1"/>
        <rFont val="Calibri"/>
        <family val="2"/>
        <scheme val="minor"/>
      </rPr>
      <t>+(R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/(R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+R</t>
    </r>
    <r>
      <rPr>
        <vertAlign val="subscript"/>
        <sz val="9"/>
        <color theme="1"/>
        <rFont val="Calibri"/>
        <family val="2"/>
        <scheme val="minor"/>
      </rPr>
      <t>mW)</t>
    </r>
    <r>
      <rPr>
        <sz val="9"/>
        <color theme="1"/>
        <rFont val="Calibri"/>
        <family val="2"/>
        <scheme val="minor"/>
      </rPr>
      <t>)*(t</t>
    </r>
    <r>
      <rPr>
        <vertAlign val="subscript"/>
        <sz val="9"/>
        <color theme="1"/>
        <rFont val="Calibri"/>
        <family val="2"/>
        <scheme val="minor"/>
      </rPr>
      <t>sm</t>
    </r>
    <r>
      <rPr>
        <sz val="9"/>
        <color theme="1"/>
        <rFont val="Calibri"/>
        <family val="2"/>
        <scheme val="minor"/>
      </rPr>
      <t>-t</t>
    </r>
    <r>
      <rPr>
        <vertAlign val="subscript"/>
        <sz val="9"/>
        <color theme="1"/>
        <rFont val="Calibri"/>
        <family val="2"/>
        <scheme val="minor"/>
      </rPr>
      <t>wm</t>
    </r>
    <r>
      <rPr>
        <sz val="9"/>
        <color theme="1"/>
        <rFont val="Calibri"/>
        <family val="2"/>
        <scheme val="minor"/>
      </rPr>
      <t>)</t>
    </r>
  </si>
  <si>
    <r>
      <t>(μ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/ 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w</t>
    </r>
    <r>
      <rPr>
        <sz val="9"/>
        <color theme="1"/>
        <rFont val="Calibri"/>
        <family val="2"/>
      </rPr>
      <t>)</t>
    </r>
    <r>
      <rPr>
        <vertAlign val="superscript"/>
        <sz val="9"/>
        <color theme="1"/>
        <rFont val="Calibri"/>
        <family val="2"/>
      </rPr>
      <t>.14</t>
    </r>
    <r>
      <rPr>
        <sz val="9"/>
        <color theme="1"/>
        <rFont val="Calibri"/>
        <family val="2"/>
      </rPr>
      <t xml:space="preserve"> init</t>
    </r>
  </si>
  <si>
    <r>
      <t>(μ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 xml:space="preserve">/ </t>
    </r>
    <r>
      <rPr>
        <sz val="9"/>
        <color theme="1"/>
        <rFont val="Calibri"/>
        <family val="2"/>
      </rPr>
      <t>μ</t>
    </r>
    <r>
      <rPr>
        <vertAlign val="subscript"/>
        <sz val="9"/>
        <color theme="1"/>
        <rFont val="Calibri"/>
        <family val="2"/>
      </rPr>
      <t>w</t>
    </r>
    <r>
      <rPr>
        <sz val="9"/>
        <color theme="1"/>
        <rFont val="Calibri"/>
        <family val="2"/>
      </rPr>
      <t>)</t>
    </r>
    <r>
      <rPr>
        <vertAlign val="superscript"/>
        <sz val="9"/>
        <color theme="1"/>
        <rFont val="Calibri"/>
        <family val="2"/>
      </rPr>
      <t>.14</t>
    </r>
    <r>
      <rPr>
        <sz val="9"/>
        <color theme="1"/>
        <rFont val="Calibri"/>
        <family val="2"/>
      </rPr>
      <t xml:space="preserve"> calc</t>
    </r>
  </si>
  <si>
    <r>
      <t>Δh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=((h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)-(h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)) /       (ln((h</t>
    </r>
    <r>
      <rPr>
        <vertAlign val="sub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)/(h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)))</t>
    </r>
  </si>
  <si>
    <r>
      <t>*  These items apply when steam coil tests are used to determine R</t>
    </r>
    <r>
      <rPr>
        <vertAlign val="subscript"/>
        <sz val="10"/>
        <color theme="1"/>
        <rFont val="Calibri"/>
        <family val="2"/>
        <scheme val="minor"/>
      </rPr>
      <t>aD</t>
    </r>
    <r>
      <rPr>
        <sz val="10"/>
        <color theme="1"/>
        <rFont val="Calibri"/>
        <family val="2"/>
        <scheme val="minor"/>
      </rPr>
      <t xml:space="preserve"> for hot water coils</t>
    </r>
  </si>
  <si>
    <r>
      <t>k</t>
    </r>
    <r>
      <rPr>
        <vertAlign val="subscript"/>
        <sz val="10"/>
        <color theme="1"/>
        <rFont val="Calibri"/>
        <family val="2"/>
        <scheme val="minor"/>
      </rPr>
      <t>w</t>
    </r>
  </si>
  <si>
    <t>Initial Est. of Water Side Film Heat Transfer Coefficient</t>
  </si>
  <si>
    <r>
      <t>f</t>
    </r>
    <r>
      <rPr>
        <vertAlign val="subscript"/>
        <sz val="10"/>
        <color theme="1"/>
        <rFont val="Calibri"/>
        <family val="2"/>
        <scheme val="minor"/>
      </rPr>
      <t>w</t>
    </r>
  </si>
  <si>
    <r>
      <t>R</t>
    </r>
    <r>
      <rPr>
        <vertAlign val="subscript"/>
        <sz val="10"/>
        <color theme="1"/>
        <rFont val="Calibri"/>
        <family val="2"/>
        <scheme val="minor"/>
      </rPr>
      <t>v</t>
    </r>
  </si>
  <si>
    <r>
      <t>Equals R - R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 xml:space="preserve"> or R - R</t>
    </r>
    <r>
      <rPr>
        <vertAlign val="subscript"/>
        <sz val="9"/>
        <color theme="1"/>
        <rFont val="Calibri"/>
        <family val="2"/>
        <scheme val="minor"/>
      </rPr>
      <t>w</t>
    </r>
  </si>
  <si>
    <r>
      <t>Water-Side Film Heat Transfer Coefficient                                              If VR</t>
    </r>
    <r>
      <rPr>
        <vertAlign val="subscript"/>
        <sz val="9"/>
        <color theme="1"/>
        <rFont val="Calibri"/>
        <family val="2"/>
        <scheme val="minor"/>
      </rPr>
      <t>init</t>
    </r>
    <r>
      <rPr>
        <sz val="9"/>
        <color theme="1"/>
        <rFont val="Calibri"/>
        <family val="2"/>
        <scheme val="minor"/>
      </rPr>
      <t xml:space="preserve"> is +/- 2 % of 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 xml:space="preserve"> , set f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 xml:space="preserve"> equal to f</t>
    </r>
    <r>
      <rPr>
        <vertAlign val="subscript"/>
        <sz val="9"/>
        <color theme="1"/>
        <rFont val="Calibri"/>
        <family val="2"/>
        <scheme val="minor"/>
      </rPr>
      <t>w(init)</t>
    </r>
    <r>
      <rPr>
        <sz val="9"/>
        <color theme="1"/>
        <rFont val="Calibri"/>
        <family val="2"/>
        <scheme val="minor"/>
      </rPr>
      <t xml:space="preserve"> *  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 xml:space="preserve"> / VR</t>
    </r>
    <r>
      <rPr>
        <vertAlign val="subscript"/>
        <sz val="9"/>
        <color theme="1"/>
        <rFont val="Calibri"/>
        <family val="2"/>
        <scheme val="minor"/>
      </rPr>
      <t xml:space="preserve">init  </t>
    </r>
  </si>
  <si>
    <r>
      <t xml:space="preserve"> f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 xml:space="preserve"> = f</t>
    </r>
    <r>
      <rPr>
        <vertAlign val="subscript"/>
        <sz val="9"/>
        <color theme="1"/>
        <rFont val="Calibri"/>
        <family val="2"/>
        <scheme val="minor"/>
      </rPr>
      <t>w(init)</t>
    </r>
    <r>
      <rPr>
        <sz val="9"/>
        <color theme="1"/>
        <rFont val="Calibri"/>
        <family val="2"/>
        <scheme val="minor"/>
      </rPr>
      <t>*VR</t>
    </r>
    <r>
      <rPr>
        <vertAlign val="subscript"/>
        <sz val="9"/>
        <color theme="1"/>
        <rFont val="Calibri"/>
        <family val="2"/>
        <scheme val="minor"/>
      </rPr>
      <t>calc</t>
    </r>
    <r>
      <rPr>
        <sz val="9"/>
        <color theme="1"/>
        <rFont val="Calibri"/>
        <family val="2"/>
        <scheme val="minor"/>
      </rPr>
      <t>/VR</t>
    </r>
    <r>
      <rPr>
        <vertAlign val="subscript"/>
        <sz val="9"/>
        <color theme="1"/>
        <rFont val="Calibri"/>
        <family val="2"/>
        <scheme val="minor"/>
      </rPr>
      <t>init</t>
    </r>
  </si>
  <si>
    <r>
      <t>R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 xml:space="preserve"> = B(1/f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</t>
    </r>
  </si>
  <si>
    <t>Choose</t>
  </si>
  <si>
    <t xml:space="preserve">Choose Surface Condition </t>
  </si>
  <si>
    <r>
      <t>Approximate Coil Characteristics (c</t>
    </r>
    <r>
      <rPr>
        <vertAlign val="sub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 xml:space="preserve"> assumed to be 0.243.  See ASHRAE 33-2016 for further explanation)</t>
    </r>
  </si>
  <si>
    <t xml:space="preserve">Approximate Mean Coil Surface Temp.                                                                                                                                             </t>
  </si>
  <si>
    <r>
      <t>Determine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by trial and error using equation: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 xml:space="preserve"> + C(h1-h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).  Correct h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 xml:space="preserve"> for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and use h1, t</t>
    </r>
    <r>
      <rPr>
        <vertAlign val="subscript"/>
        <sz val="9"/>
        <rFont val="Calibri"/>
        <family val="2"/>
        <scheme val="minor"/>
      </rPr>
      <t>w2</t>
    </r>
    <r>
      <rPr>
        <sz val="9"/>
        <rFont val="Calibri"/>
        <family val="2"/>
        <scheme val="minor"/>
      </rPr>
      <t xml:space="preserve"> and C.  For fully-wetted coil,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</t>
    </r>
    <r>
      <rPr>
        <sz val="9"/>
        <rFont val="Arial"/>
        <family val="2"/>
      </rPr>
      <t>≥</t>
    </r>
    <r>
      <rPr>
        <sz val="9"/>
        <rFont val="Calibri"/>
        <family val="2"/>
        <scheme val="minor"/>
      </rPr>
      <t xml:space="preserve">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.  If t</t>
    </r>
    <r>
      <rPr>
        <vertAlign val="subscript"/>
        <sz val="9"/>
        <rFont val="Calibri"/>
        <family val="2"/>
        <scheme val="minor"/>
      </rPr>
      <t>1dp</t>
    </r>
    <r>
      <rPr>
        <sz val="9"/>
        <rFont val="Calibri"/>
        <family val="2"/>
        <scheme val="minor"/>
      </rPr>
      <t xml:space="preserve"> &lt; t</t>
    </r>
    <r>
      <rPr>
        <vertAlign val="subscript"/>
        <sz val="9"/>
        <rFont val="Calibri"/>
        <family val="2"/>
        <scheme val="minor"/>
      </rPr>
      <t>s1</t>
    </r>
    <r>
      <rPr>
        <sz val="9"/>
        <rFont val="Calibri"/>
        <family val="2"/>
        <scheme val="minor"/>
      </rPr>
      <t>, coil is partially wet and calculation procedures may be determined from Form 410-6.</t>
    </r>
  </si>
  <si>
    <r>
      <t>Eetermine t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 xml:space="preserve"> by trial and error using equation: t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 xml:space="preserve"> + C(h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>).  Correct h</t>
    </r>
    <r>
      <rPr>
        <vertAlign val="subscript"/>
        <sz val="9"/>
        <rFont val="Calibri"/>
        <family val="2"/>
        <scheme val="minor"/>
      </rPr>
      <t>s2</t>
    </r>
    <r>
      <rPr>
        <sz val="9"/>
        <rFont val="Calibri"/>
        <family val="2"/>
        <scheme val="minor"/>
      </rPr>
      <t xml:space="preserve"> for P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, and use h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, 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 xml:space="preserve"> and C.  If t</t>
    </r>
    <r>
      <rPr>
        <vertAlign val="subscript"/>
        <sz val="9"/>
        <rFont val="Calibri"/>
        <family val="2"/>
        <scheme val="minor"/>
      </rPr>
      <t xml:space="preserve">1dp </t>
    </r>
    <r>
      <rPr>
        <sz val="9"/>
        <rFont val="Calibri"/>
        <family val="2"/>
        <scheme val="minor"/>
      </rPr>
      <t>&lt; t</t>
    </r>
    <r>
      <rPr>
        <vertAlign val="subscript"/>
        <sz val="9"/>
        <rFont val="Calibri"/>
        <family val="2"/>
        <scheme val="minor"/>
      </rPr>
      <t>s2,</t>
    </r>
    <r>
      <rPr>
        <sz val="9"/>
        <rFont val="Calibri"/>
        <family val="2"/>
        <scheme val="minor"/>
      </rPr>
      <t xml:space="preserve"> then coil is all dry</t>
    </r>
  </si>
  <si>
    <r>
      <t>Assume other values for R</t>
    </r>
    <r>
      <rPr>
        <vertAlign val="subscript"/>
        <sz val="9"/>
        <rFont val="Calibri"/>
        <family val="2"/>
        <scheme val="minor"/>
      </rPr>
      <t>aW</t>
    </r>
    <r>
      <rPr>
        <sz val="9"/>
        <rFont val="Calibri"/>
        <family val="2"/>
        <scheme val="minor"/>
      </rPr>
      <t xml:space="preserve"> (Item 56) and repeat procedure through A</t>
    </r>
    <r>
      <rPr>
        <vertAlign val="subscript"/>
        <sz val="9"/>
        <rFont val="Calibri"/>
        <family val="2"/>
        <scheme val="minor"/>
      </rPr>
      <t xml:space="preserve">c </t>
    </r>
    <r>
      <rPr>
        <sz val="9"/>
        <rFont val="Calibri"/>
        <family val="2"/>
        <scheme val="minor"/>
      </rPr>
      <t>(Item 71).  Plot values of A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 vs. R</t>
    </r>
    <r>
      <rPr>
        <vertAlign val="subscript"/>
        <sz val="9"/>
        <rFont val="Calibri"/>
        <family val="2"/>
        <scheme val="minor"/>
      </rPr>
      <t>aW</t>
    </r>
    <r>
      <rPr>
        <sz val="9"/>
        <rFont val="Calibri"/>
        <family val="2"/>
        <scheme val="minor"/>
      </rPr>
      <t xml:space="preserve"> as shown in Fig. F410-2.1.  Two or more points shall be plotted so that 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 xml:space="preserve"> lies between calculated values of A</t>
    </r>
    <r>
      <rPr>
        <vertAlign val="subscript"/>
        <sz val="9"/>
        <rFont val="Calibri"/>
        <family val="2"/>
        <scheme val="minor"/>
      </rPr>
      <t>c</t>
    </r>
    <r>
      <rPr>
        <sz val="9"/>
        <rFont val="Calibri"/>
        <family val="2"/>
        <scheme val="minor"/>
      </rPr>
      <t xml:space="preserve">. </t>
    </r>
  </si>
  <si>
    <r>
      <t>Air Film Thermal Resistance for Wet Surface                                                              The point on the curve (Fig. F410-2.1) as plotted in the previous step, where A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= A</t>
    </r>
    <r>
      <rPr>
        <vertAlign val="subscript"/>
        <sz val="9"/>
        <color theme="1"/>
        <rFont val="Calibri"/>
        <family val="2"/>
        <scheme val="minor"/>
      </rPr>
      <t xml:space="preserve">o </t>
    </r>
    <r>
      <rPr>
        <sz val="9"/>
        <color theme="1"/>
        <rFont val="Calibri"/>
        <family val="2"/>
        <scheme val="minor"/>
      </rPr>
      <t>determines the 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 value which corresponds to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.                           </t>
    </r>
  </si>
  <si>
    <r>
      <t>Plot previous step vs. Standard Air Face Velocity,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, on logarithmic coordinates in appropriate plot based on coil type. Plot both dry and wet surface friction in Fig. 28 These curves are used for application ratings.</t>
    </r>
  </si>
  <si>
    <r>
      <t xml:space="preserve">*If other than thermal counter-flow, determine mean temp difference from Appendix D and enter </t>
    </r>
    <r>
      <rPr>
        <sz val="9"/>
        <rFont val="Calibri"/>
        <family val="2"/>
      </rPr>
      <t>Δt</t>
    </r>
    <r>
      <rPr>
        <vertAlign val="subscript"/>
        <sz val="9"/>
        <rFont val="Calibri"/>
        <family val="2"/>
      </rPr>
      <t>m</t>
    </r>
    <r>
      <rPr>
        <sz val="9"/>
        <rFont val="Calibri"/>
        <family val="2"/>
      </rPr>
      <t xml:space="preserve"> </t>
    </r>
    <r>
      <rPr>
        <sz val="9"/>
        <rFont val="Calibri"/>
        <family val="2"/>
        <scheme val="minor"/>
      </rPr>
      <t>values in this row for Test Runs 1 thru 4</t>
    </r>
  </si>
  <si>
    <t>Plot R vs. Va on logarithmic coordinates as shown in Fig. 15. This curve is used in obtaining steam coil application ratings.</t>
  </si>
  <si>
    <r>
      <t>Also, plot this vs.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on logarithmic coord as shown in Fig. 15.  This curve is used for all sensible heat coils except steam coils.</t>
    </r>
  </si>
  <si>
    <r>
      <t>Air Film Thermal Resistance for Dry Surface.   For fully wet coils, use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 from Fig. 15 as determined from dry coil tests</t>
    </r>
  </si>
  <si>
    <r>
      <t>From Fig. 16,                      knowing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+ R</t>
    </r>
    <r>
      <rPr>
        <vertAlign val="subscript"/>
        <sz val="9"/>
        <color theme="1"/>
        <rFont val="Calibri"/>
        <family val="2"/>
        <scheme val="minor"/>
      </rPr>
      <t>mD</t>
    </r>
  </si>
  <si>
    <r>
      <t>Plot 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 xml:space="preserve"> vs.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on logarithmic coordinates as shown in Fig. 15. This curve is used in obtaining application ratings for all sensible heat coils except steam coils.</t>
    </r>
  </si>
  <si>
    <r>
      <t>Assuming dry surface, obtain from Fig. 14 with f</t>
    </r>
    <r>
      <rPr>
        <vertAlign val="subscript"/>
        <sz val="9"/>
        <color theme="1"/>
        <rFont val="Calibri"/>
        <family val="2"/>
        <scheme val="minor"/>
      </rPr>
      <t>aD</t>
    </r>
  </si>
  <si>
    <t>Approx. Air-Side Heat Transfer Multiple for Wet Surface Coils.                                                                                         From Equation 6</t>
  </si>
  <si>
    <r>
      <t>Total Metal Thermal Resistance of Fin and Tube for Wet Surface                                                From Fig. 14 with f</t>
    </r>
    <r>
      <rPr>
        <vertAlign val="subscript"/>
        <sz val="9"/>
        <color theme="1"/>
        <rFont val="Calibri"/>
        <family val="2"/>
        <scheme val="minor"/>
      </rPr>
      <t>aW</t>
    </r>
  </si>
  <si>
    <r>
      <t>Plot R</t>
    </r>
    <r>
      <rPr>
        <vertAlign val="subscript"/>
        <sz val="9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 xml:space="preserve"> vs. V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on logarithmic coordinates as shown in Fig 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</si>
</sst>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  <font>
      <vertAlign val="subscript"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bscript"/>
      <sz val="9"/>
      <name val="Calibri"/>
      <family val="2"/>
      <scheme val="minor"/>
    </font>
    <font>
      <sz val="9"/>
      <name val="Calibri"/>
      <family val="2"/>
    </font>
    <font>
      <vertAlign val="subscript"/>
      <sz val="9"/>
      <name val="Cambria"/>
      <family val="1"/>
      <scheme val="major"/>
    </font>
    <font>
      <vertAlign val="superscript"/>
      <sz val="9"/>
      <name val="Calibri"/>
      <family val="2"/>
      <scheme val="minor"/>
    </font>
    <font>
      <vertAlign val="subscript"/>
      <sz val="9"/>
      <color theme="1"/>
      <name val="Calibri"/>
      <family val="2"/>
    </font>
    <font>
      <b/>
      <u/>
      <sz val="9"/>
      <color theme="1"/>
      <name val="Calibri"/>
      <family val="2"/>
      <scheme val="minor"/>
    </font>
    <font>
      <vertAlign val="subscript"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color theme="1"/>
      <name val="Calibri"/>
      <family val="2"/>
    </font>
    <font>
      <vertAlign val="subscript"/>
      <sz val="9"/>
      <name val="Calibri"/>
      <family val="2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7">
    <xf numFmtId="0" fontId="0" fillId="0" borderId="0" xfId="0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vertical="center"/>
    </xf>
    <xf numFmtId="1" fontId="0" fillId="0" borderId="12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2" xfId="0" applyNumberFormat="1" applyBorder="1" applyAlignment="1">
      <alignment vertical="center"/>
    </xf>
    <xf numFmtId="1" fontId="0" fillId="0" borderId="14" xfId="0" applyNumberFormat="1" applyBorder="1" applyAlignment="1">
      <alignment vertical="center"/>
    </xf>
    <xf numFmtId="1" fontId="15" fillId="0" borderId="12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1" fontId="0" fillId="0" borderId="3" xfId="0" applyNumberForma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" fontId="15" fillId="0" borderId="12" xfId="0" applyNumberFormat="1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quotePrefix="1" applyFont="1" applyBorder="1"/>
    <xf numFmtId="1" fontId="0" fillId="3" borderId="12" xfId="0" applyNumberFormat="1" applyFill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quotePrefix="1" applyFont="1" applyBorder="1"/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7" fillId="0" borderId="7" xfId="0" quotePrefix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" fontId="16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/>
    <xf numFmtId="0" fontId="31" fillId="5" borderId="7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1" fontId="16" fillId="0" borderId="14" xfId="0" applyNumberFormat="1" applyFont="1" applyBorder="1" applyAlignment="1">
      <alignment horizontal="center" vertical="center"/>
    </xf>
    <xf numFmtId="0" fontId="31" fillId="5" borderId="9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1" fontId="16" fillId="3" borderId="13" xfId="0" applyNumberFormat="1" applyFont="1" applyFill="1" applyBorder="1" applyAlignment="1">
      <alignment horizontal="center"/>
    </xf>
    <xf numFmtId="0" fontId="16" fillId="3" borderId="13" xfId="0" applyFont="1" applyFill="1" applyBorder="1" applyAlignment="1">
      <alignment vertical="center"/>
    </xf>
    <xf numFmtId="0" fontId="16" fillId="3" borderId="13" xfId="0" applyFont="1" applyFill="1" applyBorder="1"/>
    <xf numFmtId="0" fontId="16" fillId="3" borderId="13" xfId="0" applyFont="1" applyFill="1" applyBorder="1" applyAlignment="1">
      <alignment horizontal="center" vertical="center"/>
    </xf>
    <xf numFmtId="1" fontId="0" fillId="3" borderId="15" xfId="0" applyNumberForma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17" fillId="3" borderId="9" xfId="0" applyFont="1" applyFill="1" applyBorder="1" applyAlignment="1">
      <alignment vertical="center" wrapText="1"/>
    </xf>
    <xf numFmtId="0" fontId="0" fillId="3" borderId="15" xfId="0" applyFill="1" applyBorder="1" applyAlignment="1">
      <alignment vertical="center"/>
    </xf>
    <xf numFmtId="0" fontId="3" fillId="3" borderId="4" xfId="0" applyFont="1" applyFill="1" applyBorder="1"/>
    <xf numFmtId="0" fontId="0" fillId="3" borderId="0" xfId="0" applyFill="1"/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166" fontId="7" fillId="3" borderId="7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67" fontId="31" fillId="3" borderId="7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167" fontId="7" fillId="2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" fontId="31" fillId="5" borderId="9" xfId="0" applyNumberFormat="1" applyFont="1" applyFill="1" applyBorder="1" applyAlignment="1">
      <alignment horizontal="center" vertical="center" wrapText="1"/>
    </xf>
    <xf numFmtId="2" fontId="31" fillId="3" borderId="9" xfId="0" applyNumberFormat="1" applyFont="1" applyFill="1" applyBorder="1" applyAlignment="1">
      <alignment horizontal="center" vertical="center" wrapText="1"/>
    </xf>
    <xf numFmtId="2" fontId="31" fillId="3" borderId="7" xfId="0" applyNumberFormat="1" applyFont="1" applyFill="1" applyBorder="1" applyAlignment="1">
      <alignment horizontal="center" vertical="center"/>
    </xf>
    <xf numFmtId="167" fontId="7" fillId="3" borderId="7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/>
    </xf>
    <xf numFmtId="166" fontId="7" fillId="3" borderId="12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167" fontId="7" fillId="3" borderId="12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textRotation="90" wrapText="1"/>
    </xf>
    <xf numFmtId="166" fontId="31" fillId="2" borderId="7" xfId="0" applyNumberFormat="1" applyFont="1" applyFill="1" applyBorder="1" applyAlignment="1">
      <alignment horizontal="center" vertical="center"/>
    </xf>
    <xf numFmtId="1" fontId="35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center" textRotation="90" wrapText="1"/>
    </xf>
    <xf numFmtId="0" fontId="7" fillId="0" borderId="0" xfId="0" applyFont="1" applyAlignment="1">
      <alignment horizontal="center" textRotation="90" wrapText="1"/>
    </xf>
    <xf numFmtId="0" fontId="7" fillId="0" borderId="15" xfId="0" applyFont="1" applyBorder="1" applyAlignment="1">
      <alignment horizontal="center" textRotation="90" wrapText="1"/>
    </xf>
    <xf numFmtId="0" fontId="5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17" fillId="3" borderId="10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5" fillId="5" borderId="10" xfId="0" applyFont="1" applyFill="1" applyBorder="1" applyAlignment="1">
      <alignment horizontal="center"/>
    </xf>
    <xf numFmtId="0" fontId="35" fillId="5" borderId="9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17" fillId="5" borderId="4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1" fontId="0" fillId="0" borderId="12" xfId="0" applyNumberFormat="1" applyBorder="1" applyAlignment="1">
      <alignment horizontal="center" vertical="top"/>
    </xf>
    <xf numFmtId="1" fontId="0" fillId="0" borderId="14" xfId="0" applyNumberFormat="1" applyBorder="1" applyAlignment="1">
      <alignment horizontal="center" vertical="top"/>
    </xf>
    <xf numFmtId="1" fontId="0" fillId="0" borderId="12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3" fillId="0" borderId="12" xfId="0" applyFont="1" applyBorder="1" applyAlignment="1">
      <alignment vertical="center" textRotation="90" wrapText="1"/>
    </xf>
    <xf numFmtId="0" fontId="3" fillId="0" borderId="13" xfId="0" applyFont="1" applyBorder="1" applyAlignment="1">
      <alignment vertical="center" textRotation="90" wrapText="1"/>
    </xf>
    <xf numFmtId="0" fontId="3" fillId="0" borderId="14" xfId="0" applyFont="1" applyBorder="1" applyAlignment="1">
      <alignment vertical="center" textRotation="90" wrapText="1"/>
    </xf>
    <xf numFmtId="0" fontId="5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17" fillId="5" borderId="10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textRotation="90" wrapText="1"/>
    </xf>
    <xf numFmtId="1" fontId="0" fillId="0" borderId="12" xfId="0" applyNumberFormat="1" applyBorder="1" applyAlignment="1">
      <alignment vertical="center"/>
    </xf>
    <xf numFmtId="1" fontId="0" fillId="0" borderId="14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1" fontId="0" fillId="0" borderId="13" xfId="0" applyNumberForma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180975</xdr:colOff>
      <xdr:row>95</xdr:row>
      <xdr:rowOff>57150</xdr:rowOff>
    </xdr:from>
    <xdr:to>
      <xdr:col>26</xdr:col>
      <xdr:colOff>466004</xdr:colOff>
      <xdr:row>102</xdr:row>
      <xdr:rowOff>56825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0685BF-5B24-A3C7-CDDC-F8EA93037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27403425"/>
          <a:ext cx="5771429" cy="2600000"/>
        </a:xfrm>
        <a:prstGeom prst="rect">
          <a:avLst/>
        </a:prstGeom>
      </xdr:spPr>
    </xdr:pic>
    <xdr:clientData/>
  </xdr:twoCellAnchor>
  <xdr:twoCellAnchor>
    <xdr:from>
      <xdr:col>20</xdr:col>
      <xdr:colOff>485775</xdr:colOff>
      <xdr:row>102</xdr:row>
      <xdr:rowOff>47625</xdr:rowOff>
    </xdr:from>
    <xdr:to>
      <xdr:col>22</xdr:col>
      <xdr:colOff>381000</xdr:colOff>
      <xdr:row>103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9A9F01-4727-AF25-F468-341A5255BA63}"/>
            </a:ext>
          </a:extLst>
        </xdr:cNvPr>
        <xdr:cNvSpPr txBox="1"/>
      </xdr:nvSpPr>
      <xdr:spPr>
        <a:xfrm>
          <a:off x="12039600" y="29994225"/>
          <a:ext cx="11144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F410-2.1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9"/>
  <sheetViews>
    <sheetView tabSelected="1" topLeftCell="A100" zoomScaleNormal="100" workbookViewId="0">
      <selection activeCell="G100" sqref="G100:K100"/>
    </sheetView>
  </sheetViews>
  <sheetFormatPr defaultRowHeight="15" x14ac:dyDescent="0.25"/>
  <cols>
    <col min="1" max="1" width="5.7109375" customWidth="1"/>
    <col min="2" max="3" width="5" customWidth="1"/>
    <col min="4" max="4" width="5.5703125" customWidth="1"/>
    <col min="5" max="5" width="4.5703125" customWidth="1"/>
    <col min="6" max="6" width="5.140625" style="56" customWidth="1"/>
    <col min="7" max="7" width="12.7109375" customWidth="1"/>
    <col min="8" max="8" width="13.140625" customWidth="1"/>
    <col min="9" max="9" width="14" customWidth="1"/>
    <col min="10" max="10" width="7.42578125" customWidth="1"/>
    <col min="11" max="11" width="21.7109375" style="41" customWidth="1"/>
    <col min="12" max="12" width="9.85546875" style="72" customWidth="1"/>
    <col min="13" max="13" width="6.7109375" style="86" customWidth="1"/>
    <col min="14" max="16" width="6.7109375" style="113" customWidth="1"/>
  </cols>
  <sheetData>
    <row r="1" spans="1:16" ht="18" customHeight="1" x14ac:dyDescent="0.25">
      <c r="A1" s="257" t="s">
        <v>56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9"/>
    </row>
    <row r="2" spans="1:16" ht="18" customHeight="1" x14ac:dyDescent="0.25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</row>
    <row r="3" spans="1:16" ht="6" customHeight="1" x14ac:dyDescent="0.25">
      <c r="A3" s="1"/>
      <c r="B3" s="2"/>
      <c r="I3" s="3"/>
      <c r="J3" s="3"/>
      <c r="K3" s="50"/>
    </row>
    <row r="4" spans="1:16" ht="18" customHeight="1" x14ac:dyDescent="0.25">
      <c r="A4" s="172" t="s">
        <v>201</v>
      </c>
      <c r="B4" s="172"/>
      <c r="C4" s="172"/>
      <c r="D4" s="173"/>
      <c r="E4" s="173"/>
      <c r="F4" s="173"/>
      <c r="G4" s="173"/>
      <c r="H4" s="173"/>
      <c r="I4" s="3"/>
      <c r="J4" s="104" t="s">
        <v>200</v>
      </c>
      <c r="K4" s="105"/>
      <c r="L4"/>
      <c r="M4"/>
    </row>
    <row r="5" spans="1:16" ht="6" customHeight="1" x14ac:dyDescent="0.25">
      <c r="A5" s="1"/>
      <c r="B5" s="2"/>
      <c r="I5" s="3"/>
      <c r="J5" s="3"/>
      <c r="K5" s="50"/>
    </row>
    <row r="6" spans="1:16" ht="18.75" customHeight="1" x14ac:dyDescent="0.25">
      <c r="A6" s="278" t="s">
        <v>5</v>
      </c>
      <c r="B6" s="278"/>
      <c r="C6" s="279"/>
      <c r="D6" s="179" t="s">
        <v>8</v>
      </c>
      <c r="E6" s="180"/>
      <c r="F6" s="180"/>
      <c r="G6" s="180"/>
      <c r="H6" s="183"/>
      <c r="I6" s="103" t="s">
        <v>9</v>
      </c>
      <c r="J6" s="177" t="s">
        <v>222</v>
      </c>
      <c r="K6" s="177"/>
      <c r="L6" s="178"/>
      <c r="M6" s="163"/>
      <c r="N6" s="164"/>
      <c r="O6" s="164"/>
      <c r="P6" s="165"/>
    </row>
    <row r="7" spans="1:16" ht="18.75" customHeight="1" x14ac:dyDescent="0.25">
      <c r="A7" s="279"/>
      <c r="B7" s="279"/>
      <c r="C7" s="279"/>
      <c r="D7" s="181" t="s">
        <v>7</v>
      </c>
      <c r="E7" s="182"/>
      <c r="F7" s="182"/>
      <c r="G7" s="182"/>
      <c r="H7" s="182"/>
      <c r="I7" s="182"/>
      <c r="J7" s="182"/>
      <c r="K7" s="182"/>
      <c r="L7" s="184"/>
      <c r="M7" s="166"/>
      <c r="N7" s="167"/>
      <c r="O7" s="167"/>
      <c r="P7" s="168"/>
    </row>
    <row r="8" spans="1:16" ht="27.95" customHeight="1" x14ac:dyDescent="0.25">
      <c r="A8" s="279"/>
      <c r="B8" s="279"/>
      <c r="C8" s="279"/>
      <c r="D8" s="294" t="s">
        <v>6</v>
      </c>
      <c r="E8" s="294"/>
      <c r="F8" s="294"/>
      <c r="G8" s="294"/>
      <c r="H8" s="294"/>
      <c r="I8" s="294"/>
      <c r="J8" s="295"/>
      <c r="K8" s="295"/>
      <c r="L8" s="295"/>
      <c r="M8" s="169" t="s">
        <v>223</v>
      </c>
      <c r="N8" s="170"/>
      <c r="O8" s="171"/>
      <c r="P8" s="160"/>
    </row>
    <row r="9" spans="1:16" ht="22.5" customHeight="1" x14ac:dyDescent="0.25">
      <c r="A9" s="299" t="s">
        <v>1</v>
      </c>
      <c r="B9" s="298" t="s">
        <v>2</v>
      </c>
      <c r="C9" s="298"/>
      <c r="D9" s="283" t="s">
        <v>10</v>
      </c>
      <c r="E9" s="220" t="s">
        <v>11</v>
      </c>
      <c r="F9" s="284" t="s">
        <v>12</v>
      </c>
      <c r="G9" s="285" t="s">
        <v>13</v>
      </c>
      <c r="H9" s="286"/>
      <c r="I9" s="286"/>
      <c r="J9" s="287"/>
      <c r="K9" s="314" t="s">
        <v>0</v>
      </c>
      <c r="L9" s="280" t="s">
        <v>85</v>
      </c>
      <c r="M9" s="263" t="s">
        <v>194</v>
      </c>
      <c r="N9" s="97"/>
      <c r="O9" s="97"/>
      <c r="P9" s="98"/>
    </row>
    <row r="10" spans="1:16" ht="17.45" customHeight="1" x14ac:dyDescent="0.25">
      <c r="A10" s="299"/>
      <c r="B10" s="300" t="s">
        <v>3</v>
      </c>
      <c r="C10" s="300" t="s">
        <v>4</v>
      </c>
      <c r="D10" s="283"/>
      <c r="E10" s="221"/>
      <c r="F10" s="284"/>
      <c r="G10" s="288"/>
      <c r="H10" s="289"/>
      <c r="I10" s="289"/>
      <c r="J10" s="290"/>
      <c r="K10" s="315"/>
      <c r="L10" s="281"/>
      <c r="M10" s="264"/>
      <c r="N10" s="96"/>
      <c r="O10" s="96"/>
      <c r="P10" s="100"/>
    </row>
    <row r="11" spans="1:16" ht="17.45" customHeight="1" x14ac:dyDescent="0.25">
      <c r="A11" s="185"/>
      <c r="B11" s="300"/>
      <c r="C11" s="229"/>
      <c r="D11" s="283"/>
      <c r="E11" s="223"/>
      <c r="F11" s="284"/>
      <c r="G11" s="291"/>
      <c r="H11" s="292"/>
      <c r="I11" s="292"/>
      <c r="J11" s="293"/>
      <c r="K11" s="316"/>
      <c r="L11" s="282"/>
      <c r="M11" s="265"/>
      <c r="N11" s="96"/>
      <c r="O11" s="96"/>
      <c r="P11" s="99"/>
    </row>
    <row r="12" spans="1:16" ht="18" customHeight="1" x14ac:dyDescent="0.25">
      <c r="A12" s="5">
        <v>1</v>
      </c>
      <c r="B12" s="5">
        <v>1</v>
      </c>
      <c r="C12" s="5">
        <v>1</v>
      </c>
      <c r="D12" s="186" t="s">
        <v>19</v>
      </c>
      <c r="E12" s="5">
        <v>1</v>
      </c>
      <c r="F12" s="57" t="s">
        <v>126</v>
      </c>
      <c r="G12" s="185" t="s">
        <v>20</v>
      </c>
      <c r="H12" s="185"/>
      <c r="I12" s="185"/>
      <c r="J12" s="185"/>
      <c r="K12" s="16"/>
      <c r="L12" s="73" t="s">
        <v>181</v>
      </c>
      <c r="M12" s="135"/>
      <c r="N12" s="269"/>
      <c r="O12" s="270"/>
      <c r="P12" s="271"/>
    </row>
    <row r="13" spans="1:16" ht="18" customHeight="1" x14ac:dyDescent="0.25">
      <c r="A13" s="5">
        <v>2</v>
      </c>
      <c r="B13" s="5">
        <v>2</v>
      </c>
      <c r="C13" s="5">
        <v>2</v>
      </c>
      <c r="D13" s="186"/>
      <c r="E13" s="5">
        <v>2</v>
      </c>
      <c r="F13" s="57" t="s">
        <v>127</v>
      </c>
      <c r="G13" s="185" t="s">
        <v>22</v>
      </c>
      <c r="H13" s="185"/>
      <c r="I13" s="185"/>
      <c r="J13" s="185"/>
      <c r="K13" s="16"/>
      <c r="L13" s="73" t="s">
        <v>78</v>
      </c>
      <c r="M13" s="142"/>
      <c r="N13" s="272"/>
      <c r="O13" s="273"/>
      <c r="P13" s="274"/>
    </row>
    <row r="14" spans="1:16" ht="18" customHeight="1" x14ac:dyDescent="0.25">
      <c r="A14" s="5">
        <v>3</v>
      </c>
      <c r="B14" s="5">
        <v>3</v>
      </c>
      <c r="C14" s="5">
        <v>3</v>
      </c>
      <c r="D14" s="186"/>
      <c r="E14" s="5">
        <v>3</v>
      </c>
      <c r="F14" s="57" t="s">
        <v>14</v>
      </c>
      <c r="G14" s="185" t="s">
        <v>21</v>
      </c>
      <c r="H14" s="185"/>
      <c r="I14" s="185"/>
      <c r="J14" s="185"/>
      <c r="K14" s="16"/>
      <c r="L14" s="74" t="s">
        <v>55</v>
      </c>
      <c r="M14" s="135"/>
      <c r="N14" s="272"/>
      <c r="O14" s="273"/>
      <c r="P14" s="274"/>
    </row>
    <row r="15" spans="1:16" ht="18" customHeight="1" x14ac:dyDescent="0.25">
      <c r="A15" s="5" t="s">
        <v>18</v>
      </c>
      <c r="B15" s="5">
        <v>4</v>
      </c>
      <c r="C15" s="5">
        <v>4</v>
      </c>
      <c r="D15" s="186"/>
      <c r="E15" s="5">
        <v>4</v>
      </c>
      <c r="F15" s="57" t="s">
        <v>128</v>
      </c>
      <c r="G15" s="185" t="s">
        <v>15</v>
      </c>
      <c r="H15" s="185"/>
      <c r="I15" s="185"/>
      <c r="J15" s="185"/>
      <c r="K15" s="16"/>
      <c r="L15" s="74" t="s">
        <v>55</v>
      </c>
      <c r="M15" s="134"/>
      <c r="N15" s="272"/>
      <c r="O15" s="273"/>
      <c r="P15" s="274"/>
    </row>
    <row r="16" spans="1:16" ht="18" customHeight="1" x14ac:dyDescent="0.25">
      <c r="A16" s="5" t="s">
        <v>18</v>
      </c>
      <c r="B16" s="5">
        <v>5</v>
      </c>
      <c r="C16" s="5">
        <v>5</v>
      </c>
      <c r="D16" s="186"/>
      <c r="E16" s="5">
        <v>5</v>
      </c>
      <c r="F16" s="57" t="s">
        <v>129</v>
      </c>
      <c r="G16" s="185" t="s">
        <v>16</v>
      </c>
      <c r="H16" s="185"/>
      <c r="I16" s="185"/>
      <c r="J16" s="185"/>
      <c r="K16" s="29" t="s">
        <v>121</v>
      </c>
      <c r="L16" s="73" t="s">
        <v>181</v>
      </c>
      <c r="M16" s="138"/>
      <c r="N16" s="272"/>
      <c r="O16" s="273"/>
      <c r="P16" s="274"/>
    </row>
    <row r="17" spans="1:16" ht="18" customHeight="1" x14ac:dyDescent="0.25">
      <c r="A17" s="5">
        <v>4</v>
      </c>
      <c r="B17" s="5">
        <v>6</v>
      </c>
      <c r="C17" s="5">
        <v>6</v>
      </c>
      <c r="D17" s="187"/>
      <c r="E17" s="5">
        <v>6</v>
      </c>
      <c r="F17" s="57" t="s">
        <v>130</v>
      </c>
      <c r="G17" s="185" t="s">
        <v>17</v>
      </c>
      <c r="H17" s="185"/>
      <c r="I17" s="185"/>
      <c r="J17" s="185"/>
      <c r="K17" s="16"/>
      <c r="L17" s="74" t="s">
        <v>55</v>
      </c>
      <c r="M17" s="143"/>
      <c r="N17" s="272"/>
      <c r="O17" s="273"/>
      <c r="P17" s="274"/>
    </row>
    <row r="18" spans="1:16" ht="18" customHeight="1" x14ac:dyDescent="0.25">
      <c r="A18" s="5"/>
      <c r="B18" s="5">
        <v>7</v>
      </c>
      <c r="C18" s="22">
        <v>7</v>
      </c>
      <c r="D18" s="14"/>
      <c r="E18" s="23">
        <v>7</v>
      </c>
      <c r="F18" s="58" t="s">
        <v>131</v>
      </c>
      <c r="G18" s="310" t="s">
        <v>63</v>
      </c>
      <c r="H18" s="310"/>
      <c r="I18" s="310"/>
      <c r="J18" s="310"/>
      <c r="K18" s="16"/>
      <c r="L18" s="73" t="s">
        <v>78</v>
      </c>
      <c r="M18" s="135"/>
      <c r="N18" s="272"/>
      <c r="O18" s="273"/>
      <c r="P18" s="274"/>
    </row>
    <row r="19" spans="1:16" ht="18" customHeight="1" x14ac:dyDescent="0.25">
      <c r="A19" s="5"/>
      <c r="B19" s="5">
        <v>8</v>
      </c>
      <c r="C19" s="22">
        <v>8</v>
      </c>
      <c r="D19" s="13"/>
      <c r="E19" s="23">
        <v>8</v>
      </c>
      <c r="F19" s="59" t="s">
        <v>132</v>
      </c>
      <c r="G19" s="310" t="s">
        <v>62</v>
      </c>
      <c r="H19" s="310"/>
      <c r="I19" s="310"/>
      <c r="J19" s="310"/>
      <c r="K19" s="16"/>
      <c r="L19" s="73" t="s">
        <v>18</v>
      </c>
      <c r="M19" s="137"/>
      <c r="N19" s="275"/>
      <c r="O19" s="276"/>
      <c r="P19" s="277"/>
    </row>
    <row r="20" spans="1:16" ht="24.95" customHeight="1" x14ac:dyDescent="0.25">
      <c r="A20" s="5"/>
      <c r="B20" s="5"/>
      <c r="C20" s="22"/>
      <c r="D20" s="13"/>
      <c r="E20" s="23"/>
      <c r="F20" s="59"/>
      <c r="G20" s="266"/>
      <c r="H20" s="267"/>
      <c r="I20" s="267"/>
      <c r="J20" s="268"/>
      <c r="K20" s="16"/>
      <c r="L20" s="73"/>
      <c r="M20" s="101" t="s">
        <v>195</v>
      </c>
      <c r="N20" s="112" t="s">
        <v>196</v>
      </c>
      <c r="O20" s="112" t="s">
        <v>197</v>
      </c>
      <c r="P20" s="112" t="s">
        <v>198</v>
      </c>
    </row>
    <row r="21" spans="1:16" ht="18" customHeight="1" x14ac:dyDescent="0.25">
      <c r="A21" s="5">
        <v>5</v>
      </c>
      <c r="B21" s="5">
        <v>9</v>
      </c>
      <c r="C21" s="5">
        <v>9</v>
      </c>
      <c r="D21" s="193" t="s">
        <v>60</v>
      </c>
      <c r="E21" s="5">
        <v>9</v>
      </c>
      <c r="F21" s="57" t="s">
        <v>133</v>
      </c>
      <c r="G21" s="185" t="s">
        <v>23</v>
      </c>
      <c r="H21" s="185"/>
      <c r="I21" s="185"/>
      <c r="J21" s="185"/>
      <c r="K21" s="16"/>
      <c r="L21" s="75" t="s">
        <v>79</v>
      </c>
      <c r="M21" s="142"/>
      <c r="N21" s="142"/>
      <c r="O21" s="142"/>
      <c r="P21" s="142"/>
    </row>
    <row r="22" spans="1:16" ht="18" customHeight="1" x14ac:dyDescent="0.25">
      <c r="A22" s="5">
        <v>6</v>
      </c>
      <c r="B22" s="5">
        <v>10</v>
      </c>
      <c r="C22" s="5">
        <v>10</v>
      </c>
      <c r="D22" s="193"/>
      <c r="E22" s="5">
        <v>10</v>
      </c>
      <c r="F22" s="57" t="s">
        <v>134</v>
      </c>
      <c r="G22" s="185" t="s">
        <v>24</v>
      </c>
      <c r="H22" s="185"/>
      <c r="I22" s="185"/>
      <c r="J22" s="185"/>
      <c r="K22" s="16"/>
      <c r="L22" s="76" t="s">
        <v>76</v>
      </c>
      <c r="M22" s="135"/>
      <c r="N22" s="135"/>
      <c r="O22" s="135"/>
      <c r="P22" s="135"/>
    </row>
    <row r="23" spans="1:16" ht="18" customHeight="1" x14ac:dyDescent="0.25">
      <c r="A23" s="5" t="s">
        <v>18</v>
      </c>
      <c r="B23" s="5">
        <v>11</v>
      </c>
      <c r="C23" s="5">
        <v>11</v>
      </c>
      <c r="D23" s="193"/>
      <c r="E23" s="5">
        <v>11</v>
      </c>
      <c r="F23" s="57" t="s">
        <v>135</v>
      </c>
      <c r="G23" s="185" t="s">
        <v>25</v>
      </c>
      <c r="H23" s="185"/>
      <c r="I23" s="185"/>
      <c r="J23" s="185"/>
      <c r="K23" s="16"/>
      <c r="L23" s="76" t="s">
        <v>76</v>
      </c>
      <c r="M23" s="135"/>
      <c r="N23" s="135"/>
      <c r="O23" s="135"/>
      <c r="P23" s="135"/>
    </row>
    <row r="24" spans="1:16" ht="18" customHeight="1" x14ac:dyDescent="0.25">
      <c r="A24" s="5" t="s">
        <v>18</v>
      </c>
      <c r="B24" s="5" t="s">
        <v>18</v>
      </c>
      <c r="C24" s="5">
        <v>12</v>
      </c>
      <c r="D24" s="193"/>
      <c r="E24" s="5">
        <v>12</v>
      </c>
      <c r="F24" s="57" t="s">
        <v>136</v>
      </c>
      <c r="G24" s="185" t="s">
        <v>26</v>
      </c>
      <c r="H24" s="185"/>
      <c r="I24" s="185"/>
      <c r="J24" s="185"/>
      <c r="K24" s="16"/>
      <c r="L24" s="73" t="s">
        <v>34</v>
      </c>
      <c r="M24" s="135"/>
      <c r="N24" s="135"/>
      <c r="O24" s="135"/>
      <c r="P24" s="135"/>
    </row>
    <row r="25" spans="1:16" ht="18" customHeight="1" x14ac:dyDescent="0.25">
      <c r="A25" s="5">
        <v>7</v>
      </c>
      <c r="B25" s="5">
        <v>12</v>
      </c>
      <c r="C25" s="55">
        <v>13</v>
      </c>
      <c r="D25" s="193"/>
      <c r="E25" s="5">
        <v>13</v>
      </c>
      <c r="F25" s="58" t="s">
        <v>137</v>
      </c>
      <c r="G25" s="185" t="s">
        <v>27</v>
      </c>
      <c r="H25" s="185"/>
      <c r="I25" s="185"/>
      <c r="J25" s="185"/>
      <c r="K25" s="16"/>
      <c r="L25" s="73" t="s">
        <v>182</v>
      </c>
      <c r="M25" s="135"/>
      <c r="N25" s="135"/>
      <c r="O25" s="135"/>
      <c r="P25" s="135"/>
    </row>
    <row r="26" spans="1:16" ht="18" customHeight="1" x14ac:dyDescent="0.25">
      <c r="A26" s="5" t="s">
        <v>18</v>
      </c>
      <c r="B26" s="5" t="s">
        <v>18</v>
      </c>
      <c r="C26" s="5">
        <v>14</v>
      </c>
      <c r="D26" s="193"/>
      <c r="E26" s="5">
        <v>14</v>
      </c>
      <c r="F26" s="57" t="s">
        <v>138</v>
      </c>
      <c r="G26" s="185" t="s">
        <v>28</v>
      </c>
      <c r="H26" s="185"/>
      <c r="I26" s="185"/>
      <c r="J26" s="185"/>
      <c r="K26" s="16"/>
      <c r="L26" s="73" t="s">
        <v>34</v>
      </c>
      <c r="M26" s="135"/>
      <c r="N26" s="135"/>
      <c r="O26" s="135"/>
      <c r="P26" s="135"/>
    </row>
    <row r="27" spans="1:16" ht="18" customHeight="1" x14ac:dyDescent="0.25">
      <c r="A27" s="5" t="s">
        <v>18</v>
      </c>
      <c r="B27" s="5">
        <v>13</v>
      </c>
      <c r="C27" s="5">
        <v>15</v>
      </c>
      <c r="D27" s="193"/>
      <c r="E27" s="5">
        <v>15</v>
      </c>
      <c r="F27" s="57" t="s">
        <v>139</v>
      </c>
      <c r="G27" s="185" t="s">
        <v>29</v>
      </c>
      <c r="H27" s="185"/>
      <c r="I27" s="185"/>
      <c r="J27" s="185"/>
      <c r="K27" s="16"/>
      <c r="L27" s="73" t="s">
        <v>182</v>
      </c>
      <c r="M27" s="135"/>
      <c r="N27" s="135"/>
      <c r="O27" s="135"/>
      <c r="P27" s="135"/>
    </row>
    <row r="28" spans="1:16" ht="18" customHeight="1" x14ac:dyDescent="0.25">
      <c r="A28" s="5" t="s">
        <v>18</v>
      </c>
      <c r="B28" s="5">
        <v>14</v>
      </c>
      <c r="C28" s="5">
        <v>16</v>
      </c>
      <c r="D28" s="193"/>
      <c r="E28" s="5">
        <v>16</v>
      </c>
      <c r="F28" s="57" t="s">
        <v>140</v>
      </c>
      <c r="G28" s="185" t="s">
        <v>30</v>
      </c>
      <c r="H28" s="185"/>
      <c r="I28" s="185"/>
      <c r="J28" s="185"/>
      <c r="K28" s="16"/>
      <c r="L28" s="73" t="s">
        <v>182</v>
      </c>
      <c r="M28" s="135"/>
      <c r="N28" s="135"/>
      <c r="O28" s="135"/>
      <c r="P28" s="135"/>
    </row>
    <row r="29" spans="1:16" ht="18" customHeight="1" x14ac:dyDescent="0.25">
      <c r="A29" s="5" t="s">
        <v>18</v>
      </c>
      <c r="B29" s="5">
        <v>15</v>
      </c>
      <c r="C29" s="5">
        <v>17</v>
      </c>
      <c r="D29" s="193"/>
      <c r="E29" s="5">
        <v>17</v>
      </c>
      <c r="F29" s="57" t="s">
        <v>141</v>
      </c>
      <c r="G29" s="185" t="s">
        <v>68</v>
      </c>
      <c r="H29" s="185"/>
      <c r="I29" s="185"/>
      <c r="J29" s="185"/>
      <c r="K29" s="16"/>
      <c r="L29" s="77" t="s">
        <v>66</v>
      </c>
      <c r="M29" s="134"/>
      <c r="N29" s="134"/>
      <c r="O29" s="134"/>
      <c r="P29" s="134"/>
    </row>
    <row r="30" spans="1:16" ht="18" customHeight="1" x14ac:dyDescent="0.25">
      <c r="A30" s="5">
        <v>8</v>
      </c>
      <c r="B30" s="5" t="s">
        <v>18</v>
      </c>
      <c r="C30" s="5" t="s">
        <v>18</v>
      </c>
      <c r="D30" s="193"/>
      <c r="E30" s="5">
        <v>18</v>
      </c>
      <c r="F30" s="58" t="s">
        <v>142</v>
      </c>
      <c r="G30" s="185" t="s">
        <v>33</v>
      </c>
      <c r="H30" s="185"/>
      <c r="I30" s="185"/>
      <c r="J30" s="185"/>
      <c r="K30" s="16"/>
      <c r="L30" s="73" t="s">
        <v>182</v>
      </c>
      <c r="M30" s="134"/>
      <c r="N30" s="134"/>
      <c r="O30" s="134"/>
      <c r="P30" s="134"/>
    </row>
    <row r="31" spans="1:16" ht="18" customHeight="1" x14ac:dyDescent="0.25">
      <c r="A31" s="5">
        <v>9</v>
      </c>
      <c r="B31" s="5">
        <v>16</v>
      </c>
      <c r="C31" s="5">
        <v>18</v>
      </c>
      <c r="D31" s="193"/>
      <c r="E31" s="5">
        <v>19</v>
      </c>
      <c r="F31" s="57" t="s">
        <v>143</v>
      </c>
      <c r="G31" s="310" t="s">
        <v>70</v>
      </c>
      <c r="H31" s="310"/>
      <c r="I31" s="310"/>
      <c r="J31" s="310"/>
      <c r="K31" s="16"/>
      <c r="L31" s="76" t="s">
        <v>69</v>
      </c>
      <c r="M31" s="143"/>
      <c r="N31" s="143"/>
      <c r="O31" s="143"/>
      <c r="P31" s="143"/>
    </row>
    <row r="32" spans="1:16" ht="18" customHeight="1" x14ac:dyDescent="0.25">
      <c r="A32" s="5" t="s">
        <v>18</v>
      </c>
      <c r="B32" s="5">
        <v>17</v>
      </c>
      <c r="C32" s="5">
        <v>19</v>
      </c>
      <c r="D32" s="193"/>
      <c r="E32" s="5">
        <v>20</v>
      </c>
      <c r="F32" s="58" t="s">
        <v>144</v>
      </c>
      <c r="G32" s="310" t="s">
        <v>71</v>
      </c>
      <c r="H32" s="310"/>
      <c r="I32" s="310"/>
      <c r="J32" s="310"/>
      <c r="K32" s="16"/>
      <c r="L32" s="76" t="s">
        <v>69</v>
      </c>
      <c r="M32" s="143"/>
      <c r="N32" s="143"/>
      <c r="O32" s="143"/>
      <c r="P32" s="143"/>
    </row>
    <row r="33" spans="1:16" ht="18" customHeight="1" x14ac:dyDescent="0.25">
      <c r="A33" s="5">
        <v>10</v>
      </c>
      <c r="B33" s="5">
        <v>18</v>
      </c>
      <c r="C33" s="5">
        <v>20</v>
      </c>
      <c r="D33" s="193"/>
      <c r="E33" s="5">
        <v>21</v>
      </c>
      <c r="F33" s="57" t="s">
        <v>145</v>
      </c>
      <c r="G33" s="185" t="s">
        <v>31</v>
      </c>
      <c r="H33" s="185"/>
      <c r="I33" s="185"/>
      <c r="J33" s="185"/>
      <c r="K33" s="16"/>
      <c r="L33" s="75" t="s">
        <v>80</v>
      </c>
      <c r="M33" s="134"/>
      <c r="N33" s="134"/>
      <c r="O33" s="134"/>
      <c r="P33" s="134"/>
    </row>
    <row r="34" spans="1:16" ht="18" customHeight="1" x14ac:dyDescent="0.25">
      <c r="A34" s="5" t="s">
        <v>18</v>
      </c>
      <c r="B34" s="5">
        <v>19</v>
      </c>
      <c r="C34" s="5">
        <v>21</v>
      </c>
      <c r="D34" s="194"/>
      <c r="E34" s="5">
        <v>22</v>
      </c>
      <c r="F34" s="57" t="s">
        <v>146</v>
      </c>
      <c r="G34" s="185" t="s">
        <v>32</v>
      </c>
      <c r="H34" s="185"/>
      <c r="I34" s="185"/>
      <c r="J34" s="185"/>
      <c r="K34" s="16" t="s">
        <v>86</v>
      </c>
      <c r="L34" s="73" t="s">
        <v>182</v>
      </c>
      <c r="M34" s="89">
        <f xml:space="preserve"> 0.5*(M27 + M28)</f>
        <v>0</v>
      </c>
      <c r="N34" s="89">
        <f t="shared" ref="N34:P34" si="0" xml:space="preserve"> 0.5*(N27 + N28)</f>
        <v>0</v>
      </c>
      <c r="O34" s="89">
        <f t="shared" si="0"/>
        <v>0</v>
      </c>
      <c r="P34" s="89">
        <f t="shared" si="0"/>
        <v>0</v>
      </c>
    </row>
    <row r="35" spans="1:16" ht="27.95" customHeight="1" x14ac:dyDescent="0.25">
      <c r="A35" s="5">
        <v>11</v>
      </c>
      <c r="B35" s="5">
        <v>20</v>
      </c>
      <c r="C35" s="5" t="s">
        <v>18</v>
      </c>
      <c r="D35" s="195"/>
      <c r="E35" s="5">
        <v>23</v>
      </c>
      <c r="F35" s="57" t="s">
        <v>147</v>
      </c>
      <c r="G35" s="176" t="s">
        <v>72</v>
      </c>
      <c r="H35" s="176"/>
      <c r="I35" s="176"/>
      <c r="J35" s="176"/>
      <c r="K35" s="52"/>
      <c r="L35" s="75" t="s">
        <v>183</v>
      </c>
      <c r="M35" s="142"/>
      <c r="N35" s="142"/>
      <c r="O35" s="142"/>
      <c r="P35" s="142"/>
    </row>
    <row r="36" spans="1:16" ht="18" customHeight="1" x14ac:dyDescent="0.25">
      <c r="A36" s="5" t="s">
        <v>18</v>
      </c>
      <c r="B36" s="5" t="s">
        <v>18</v>
      </c>
      <c r="C36" s="5">
        <v>22</v>
      </c>
      <c r="D36" s="196"/>
      <c r="E36" s="5">
        <v>24</v>
      </c>
      <c r="F36" s="57" t="s">
        <v>148</v>
      </c>
      <c r="G36" s="176" t="s">
        <v>73</v>
      </c>
      <c r="H36" s="176"/>
      <c r="I36" s="176"/>
      <c r="J36" s="176"/>
      <c r="K36" s="52"/>
      <c r="L36" s="75" t="s">
        <v>183</v>
      </c>
      <c r="M36" s="142"/>
      <c r="N36" s="142"/>
      <c r="O36" s="142"/>
      <c r="P36" s="142"/>
    </row>
    <row r="37" spans="1:16" s="24" customFormat="1" ht="38.1" customHeight="1" x14ac:dyDescent="0.25">
      <c r="A37" s="5" t="s">
        <v>18</v>
      </c>
      <c r="B37" s="5">
        <v>21</v>
      </c>
      <c r="C37" s="5">
        <v>23</v>
      </c>
      <c r="D37" s="220" t="s">
        <v>57</v>
      </c>
      <c r="E37" s="5">
        <v>25</v>
      </c>
      <c r="F37" s="57" t="s">
        <v>149</v>
      </c>
      <c r="G37" s="176" t="s">
        <v>87</v>
      </c>
      <c r="H37" s="176"/>
      <c r="I37" s="176"/>
      <c r="J37" s="176"/>
      <c r="K37" s="52" t="s">
        <v>88</v>
      </c>
      <c r="L37" s="74" t="s">
        <v>55</v>
      </c>
      <c r="M37" s="137">
        <f xml:space="preserve"> IF(M32=0,0,M31/M32)</f>
        <v>0</v>
      </c>
      <c r="N37" s="137">
        <f t="shared" ref="N37:P37" si="1" xml:space="preserve"> IF(N32=0,0,N31/N32)</f>
        <v>0</v>
      </c>
      <c r="O37" s="137">
        <f t="shared" si="1"/>
        <v>0</v>
      </c>
      <c r="P37" s="137">
        <f t="shared" si="1"/>
        <v>0</v>
      </c>
    </row>
    <row r="38" spans="1:16" s="24" customFormat="1" ht="18" customHeight="1" x14ac:dyDescent="0.25">
      <c r="A38" s="5" t="s">
        <v>18</v>
      </c>
      <c r="B38" s="5">
        <v>22</v>
      </c>
      <c r="C38" s="5">
        <v>24</v>
      </c>
      <c r="D38" s="221"/>
      <c r="E38" s="5">
        <v>26</v>
      </c>
      <c r="F38" s="57" t="s">
        <v>150</v>
      </c>
      <c r="G38" s="185" t="s">
        <v>74</v>
      </c>
      <c r="H38" s="185"/>
      <c r="I38" s="185"/>
      <c r="J38" s="185"/>
      <c r="K38" s="16" t="s">
        <v>120</v>
      </c>
      <c r="L38" s="73" t="s">
        <v>77</v>
      </c>
      <c r="M38" s="137">
        <f>IF($M16=0,0,M29/(62.361*3600*$M16))</f>
        <v>0</v>
      </c>
      <c r="N38" s="137">
        <f t="shared" ref="N38:P38" si="2">IF($M16=0,0,N29/(62.361*3600*$M16))</f>
        <v>0</v>
      </c>
      <c r="O38" s="137">
        <f t="shared" si="2"/>
        <v>0</v>
      </c>
      <c r="P38" s="137">
        <f t="shared" si="2"/>
        <v>0</v>
      </c>
    </row>
    <row r="39" spans="1:16" ht="27.95" customHeight="1" x14ac:dyDescent="0.25">
      <c r="A39" s="7">
        <v>12</v>
      </c>
      <c r="B39" s="7">
        <v>23</v>
      </c>
      <c r="C39" s="7" t="s">
        <v>18</v>
      </c>
      <c r="D39" s="221"/>
      <c r="E39" s="15">
        <v>27</v>
      </c>
      <c r="F39" s="25" t="s">
        <v>151</v>
      </c>
      <c r="G39" s="197" t="s">
        <v>35</v>
      </c>
      <c r="H39" s="198"/>
      <c r="I39" s="198"/>
      <c r="J39" s="199"/>
      <c r="K39" s="30"/>
      <c r="L39" s="73"/>
      <c r="M39" s="90"/>
      <c r="N39" s="73"/>
      <c r="O39" s="73"/>
      <c r="P39" s="73"/>
    </row>
    <row r="40" spans="1:16" ht="38.1" customHeight="1" x14ac:dyDescent="0.25">
      <c r="A40" s="107" t="str">
        <f>IF($H40=$H41,A41,IF($H40=$H42,A42,IF($H40=$H43,A43,IF($H40=$H44,A44,A45))))</f>
        <v xml:space="preserve"> </v>
      </c>
      <c r="B40" s="107" t="str">
        <f>IF($H40=$H41,B41,IF($H40=$H42,B42,IF($H40=$H43,B43,IF($H40=$H44,B44,B45))))</f>
        <v xml:space="preserve"> </v>
      </c>
      <c r="C40" s="107" t="str">
        <f>IF($H40=$H41,C41,IF($H40=$H42,C42,IF($H40=$H43,C43,IF($H40=$H44,C44,C45))))</f>
        <v xml:space="preserve"> </v>
      </c>
      <c r="D40" s="222"/>
      <c r="E40" s="102"/>
      <c r="F40" s="60"/>
      <c r="G40" s="31"/>
      <c r="H40" s="296" t="str">
        <f>IF(J6="Choose","Select Coil Type Above","For "&amp;J6&amp;" Coils:")</f>
        <v>Select Coil Type Above</v>
      </c>
      <c r="I40" s="296"/>
      <c r="J40" s="297"/>
      <c r="K40" s="110" t="str">
        <f>IF($H40=$H41,K41,IF($H40=$H42,K42,IF($H40=$H43,K43,IF($H40=$H44,K44,"enter values row 45"))))</f>
        <v xml:space="preserve"> </v>
      </c>
      <c r="L40" s="106" t="s">
        <v>76</v>
      </c>
      <c r="M40" s="144">
        <f>IF($H40=$H41,M41,IF($H40=$H42,M42,IF($H40=$H43,M43,IF($H40=$H44,M44,M45))))</f>
        <v>0</v>
      </c>
      <c r="N40" s="144">
        <f t="shared" ref="N40:P40" si="3">IF($H40=$H41,N41,IF($H40=$H42,N42,IF($H40=$H43,N43,IF($H40=$H44,N44,N45))))</f>
        <v>0</v>
      </c>
      <c r="O40" s="144">
        <f t="shared" si="3"/>
        <v>0</v>
      </c>
      <c r="P40" s="144">
        <f t="shared" si="3"/>
        <v>0</v>
      </c>
    </row>
    <row r="41" spans="1:16" ht="27.95" customHeight="1" x14ac:dyDescent="0.25">
      <c r="A41" s="114" t="s">
        <v>205</v>
      </c>
      <c r="B41" s="114" t="s">
        <v>205</v>
      </c>
      <c r="C41" s="114" t="s">
        <v>205</v>
      </c>
      <c r="D41" s="222"/>
      <c r="E41" s="119"/>
      <c r="F41" s="120"/>
      <c r="G41" s="121"/>
      <c r="H41" s="174" t="s">
        <v>206</v>
      </c>
      <c r="I41" s="174"/>
      <c r="J41" s="175"/>
      <c r="K41" s="122" t="s">
        <v>205</v>
      </c>
      <c r="L41" s="88"/>
      <c r="M41" s="145">
        <v>0</v>
      </c>
      <c r="N41" s="145">
        <v>0</v>
      </c>
      <c r="O41" s="145">
        <v>0</v>
      </c>
      <c r="P41" s="145">
        <v>0</v>
      </c>
    </row>
    <row r="42" spans="1:16" s="125" customFormat="1" ht="27.95" customHeight="1" x14ac:dyDescent="0.25">
      <c r="A42" s="115"/>
      <c r="B42" s="116" t="s">
        <v>205</v>
      </c>
      <c r="C42" s="116" t="s">
        <v>205</v>
      </c>
      <c r="D42" s="221"/>
      <c r="E42" s="123"/>
      <c r="F42" s="120"/>
      <c r="G42" s="121"/>
      <c r="H42" s="174" t="s">
        <v>75</v>
      </c>
      <c r="I42" s="174"/>
      <c r="J42" s="175"/>
      <c r="K42" s="122" t="s">
        <v>202</v>
      </c>
      <c r="L42" s="88" t="s">
        <v>76</v>
      </c>
      <c r="M42" s="137">
        <f>IF((M30-M22)*(M30-M25)=0,0,ABS((M25-M22)/(LN((M30-M22)/(M30-M25)))))</f>
        <v>0</v>
      </c>
      <c r="N42" s="137">
        <f t="shared" ref="N42:P42" si="4">IF((N30-N22)*(N30-N25)=0,0,ABS((N25-N22)/(LN((N30-N22)/(N30-N25)))))</f>
        <v>0</v>
      </c>
      <c r="O42" s="137">
        <f t="shared" si="4"/>
        <v>0</v>
      </c>
      <c r="P42" s="137">
        <f t="shared" si="4"/>
        <v>0</v>
      </c>
    </row>
    <row r="43" spans="1:16" s="125" customFormat="1" ht="27.95" customHeight="1" x14ac:dyDescent="0.25">
      <c r="A43" s="117" t="s">
        <v>205</v>
      </c>
      <c r="B43" s="118"/>
      <c r="C43" s="118" t="s">
        <v>205</v>
      </c>
      <c r="D43" s="221"/>
      <c r="E43" s="123"/>
      <c r="F43" s="120"/>
      <c r="G43" s="121"/>
      <c r="H43" s="191" t="s">
        <v>81</v>
      </c>
      <c r="I43" s="191"/>
      <c r="J43" s="192"/>
      <c r="K43" s="122" t="s">
        <v>203</v>
      </c>
      <c r="L43" s="88" t="s">
        <v>76</v>
      </c>
      <c r="M43" s="137">
        <f>IF($M$8 ="Fully Wetted"," ",(IF((M22-M28)*(M25-M27)=0,0,ABS(((M22-M28)-(M25-M27))/(LN((M22-M28)/(M25-M27)))))))</f>
        <v>0</v>
      </c>
      <c r="N43" s="137">
        <f t="shared" ref="N43:P43" si="5">IF($M$8 ="Fully Wetted"," ",(IF((N22-N28)*(N25-N27)=0,0,ABS(((N22-N28)-(N25-N27))/(LN((N22-N28)/(N25-N27)))))))</f>
        <v>0</v>
      </c>
      <c r="O43" s="137">
        <f t="shared" si="5"/>
        <v>0</v>
      </c>
      <c r="P43" s="137">
        <f t="shared" si="5"/>
        <v>0</v>
      </c>
    </row>
    <row r="44" spans="1:16" s="125" customFormat="1" ht="27.95" customHeight="1" x14ac:dyDescent="0.25">
      <c r="A44" s="117" t="s">
        <v>205</v>
      </c>
      <c r="B44" s="118" t="s">
        <v>205</v>
      </c>
      <c r="C44" s="116" t="s">
        <v>205</v>
      </c>
      <c r="D44" s="221"/>
      <c r="E44" s="123"/>
      <c r="F44" s="120"/>
      <c r="G44" s="124"/>
      <c r="H44" s="191" t="s">
        <v>59</v>
      </c>
      <c r="I44" s="191"/>
      <c r="J44" s="192"/>
      <c r="K44" s="122" t="s">
        <v>204</v>
      </c>
      <c r="L44" s="88" t="s">
        <v>76</v>
      </c>
      <c r="M44" s="146">
        <f>IF((M28-M22)*(M27-M25)=0,0,ABS(((M28-M22)-(M27-M25))/(LN((M28-M22)/(M27-M25)))))</f>
        <v>0</v>
      </c>
      <c r="N44" s="146">
        <f t="shared" ref="N44:P44" si="6">IF((N28-N22)*(N27-N25)=0,0,ABS(((N28-N22)-(N27-N25))/(LN((N28-N22)/(N27-N25)))))</f>
        <v>0</v>
      </c>
      <c r="O44" s="146">
        <f t="shared" si="6"/>
        <v>0</v>
      </c>
      <c r="P44" s="146">
        <f t="shared" si="6"/>
        <v>0</v>
      </c>
    </row>
    <row r="45" spans="1:16" s="24" customFormat="1" ht="27.95" customHeight="1" x14ac:dyDescent="0.25">
      <c r="A45" s="126" t="s">
        <v>207</v>
      </c>
      <c r="B45" s="126" t="s">
        <v>208</v>
      </c>
      <c r="C45" s="127" t="s">
        <v>205</v>
      </c>
      <c r="D45" s="221"/>
      <c r="E45" s="128"/>
      <c r="F45" s="129"/>
      <c r="G45" s="188" t="s">
        <v>231</v>
      </c>
      <c r="H45" s="189"/>
      <c r="I45" s="189"/>
      <c r="J45" s="189"/>
      <c r="K45" s="190"/>
      <c r="L45" s="106" t="s">
        <v>76</v>
      </c>
      <c r="M45" s="144">
        <v>0</v>
      </c>
      <c r="N45" s="144">
        <v>0</v>
      </c>
      <c r="O45" s="144">
        <v>0</v>
      </c>
      <c r="P45" s="144">
        <v>0</v>
      </c>
    </row>
    <row r="46" spans="1:16" s="24" customFormat="1" ht="27.95" customHeight="1" x14ac:dyDescent="0.25">
      <c r="A46" s="109">
        <v>13</v>
      </c>
      <c r="B46" s="8">
        <v>24</v>
      </c>
      <c r="C46" s="8"/>
      <c r="D46" s="221"/>
      <c r="E46" s="5">
        <v>28</v>
      </c>
      <c r="F46" s="57" t="s">
        <v>36</v>
      </c>
      <c r="G46" s="176" t="s">
        <v>37</v>
      </c>
      <c r="H46" s="176"/>
      <c r="I46" s="176"/>
      <c r="J46" s="176"/>
      <c r="K46" s="16" t="s">
        <v>89</v>
      </c>
      <c r="L46" s="75" t="s">
        <v>184</v>
      </c>
      <c r="M46" s="147">
        <f>IF($M$8 = "Fully Wetted", " ",(IF(M31=0,0,($M12*M40)/M31)))</f>
        <v>0</v>
      </c>
      <c r="N46" s="147">
        <f t="shared" ref="N46:P46" si="7">IF($M$8 = "Fully Wetted", " ",(IF(N31=0,0,($M12*N40)/N31)))</f>
        <v>0</v>
      </c>
      <c r="O46" s="147">
        <f t="shared" si="7"/>
        <v>0</v>
      </c>
      <c r="P46" s="147">
        <f t="shared" si="7"/>
        <v>0</v>
      </c>
    </row>
    <row r="47" spans="1:16" ht="27.95" customHeight="1" x14ac:dyDescent="0.25">
      <c r="A47" s="51">
        <v>14</v>
      </c>
      <c r="B47" s="7">
        <v>25</v>
      </c>
      <c r="C47" s="7"/>
      <c r="D47" s="221"/>
      <c r="E47" s="5">
        <v>29</v>
      </c>
      <c r="F47" s="57"/>
      <c r="G47" s="228" t="s">
        <v>232</v>
      </c>
      <c r="H47" s="228"/>
      <c r="I47" s="228"/>
      <c r="J47" s="228"/>
      <c r="K47" s="229"/>
      <c r="L47" s="74" t="s">
        <v>55</v>
      </c>
      <c r="M47" s="91"/>
      <c r="N47" s="73"/>
      <c r="O47" s="73"/>
      <c r="P47" s="73"/>
    </row>
    <row r="48" spans="1:16" ht="18" customHeight="1" x14ac:dyDescent="0.25">
      <c r="A48" s="11"/>
      <c r="B48" s="7">
        <v>26</v>
      </c>
      <c r="C48" s="7">
        <v>25</v>
      </c>
      <c r="D48" s="221"/>
      <c r="E48" s="5">
        <v>30</v>
      </c>
      <c r="F48" s="62" t="s">
        <v>152</v>
      </c>
      <c r="G48" s="233" t="s">
        <v>90</v>
      </c>
      <c r="H48" s="234"/>
      <c r="I48" s="234"/>
      <c r="J48" s="235"/>
      <c r="K48" s="30"/>
      <c r="L48" s="73" t="s">
        <v>185</v>
      </c>
      <c r="M48" s="148"/>
      <c r="N48" s="148"/>
      <c r="O48" s="142"/>
      <c r="P48" s="142"/>
    </row>
    <row r="49" spans="1:16" ht="18" customHeight="1" x14ac:dyDescent="0.25">
      <c r="A49" s="11"/>
      <c r="B49" s="7">
        <v>27</v>
      </c>
      <c r="C49" s="7">
        <v>26</v>
      </c>
      <c r="D49" s="221"/>
      <c r="E49" s="5">
        <v>31</v>
      </c>
      <c r="F49" s="63" t="s">
        <v>153</v>
      </c>
      <c r="G49" s="32" t="s">
        <v>91</v>
      </c>
      <c r="H49" s="33"/>
      <c r="I49" s="33"/>
      <c r="J49" s="34"/>
      <c r="K49" s="30"/>
      <c r="L49" s="73" t="s">
        <v>186</v>
      </c>
      <c r="M49" s="148"/>
      <c r="N49" s="148"/>
      <c r="O49" s="148"/>
      <c r="P49" s="148"/>
    </row>
    <row r="50" spans="1:16" ht="18" customHeight="1" x14ac:dyDescent="0.25">
      <c r="A50" s="11"/>
      <c r="B50" s="7">
        <v>28</v>
      </c>
      <c r="C50" s="7">
        <v>27</v>
      </c>
      <c r="D50" s="221"/>
      <c r="E50" s="5">
        <v>32</v>
      </c>
      <c r="F50" s="63" t="s">
        <v>154</v>
      </c>
      <c r="G50" s="32" t="s">
        <v>92</v>
      </c>
      <c r="H50" s="33"/>
      <c r="I50" s="33"/>
      <c r="J50" s="34"/>
      <c r="K50" s="30"/>
      <c r="L50" s="73" t="s">
        <v>187</v>
      </c>
      <c r="M50" s="148"/>
      <c r="N50" s="148"/>
      <c r="O50" s="142"/>
      <c r="P50" s="142"/>
    </row>
    <row r="51" spans="1:16" ht="18" customHeight="1" x14ac:dyDescent="0.25">
      <c r="A51" s="11"/>
      <c r="B51" s="7">
        <v>29</v>
      </c>
      <c r="C51" s="7">
        <v>28</v>
      </c>
      <c r="D51" s="221"/>
      <c r="E51" s="5">
        <v>33</v>
      </c>
      <c r="F51" s="63" t="s">
        <v>214</v>
      </c>
      <c r="G51" s="32" t="s">
        <v>93</v>
      </c>
      <c r="H51" s="33"/>
      <c r="I51" s="33"/>
      <c r="J51" s="34"/>
      <c r="K51" s="30"/>
      <c r="L51" s="75" t="s">
        <v>188</v>
      </c>
      <c r="M51" s="148"/>
      <c r="N51" s="148"/>
      <c r="O51" s="142"/>
      <c r="P51" s="142"/>
    </row>
    <row r="52" spans="1:16" ht="18" customHeight="1" x14ac:dyDescent="0.25">
      <c r="A52" s="11"/>
      <c r="B52" s="7">
        <v>30</v>
      </c>
      <c r="C52" s="7">
        <v>29</v>
      </c>
      <c r="D52" s="221"/>
      <c r="E52" s="5">
        <v>34</v>
      </c>
      <c r="F52" s="63" t="s">
        <v>155</v>
      </c>
      <c r="G52" s="35" t="s">
        <v>94</v>
      </c>
      <c r="H52" s="36"/>
      <c r="I52" s="36"/>
      <c r="J52" s="37"/>
      <c r="K52" s="38" t="s">
        <v>95</v>
      </c>
      <c r="L52" s="75" t="s">
        <v>18</v>
      </c>
      <c r="M52" s="137">
        <f>IF(M51=0,0,M49*M50/M51)</f>
        <v>0</v>
      </c>
      <c r="N52" s="137">
        <f t="shared" ref="N52:P52" si="8">IF(N51=0,0,N49*N50/N51)</f>
        <v>0</v>
      </c>
      <c r="O52" s="137">
        <f t="shared" si="8"/>
        <v>0</v>
      </c>
      <c r="P52" s="137">
        <f t="shared" si="8"/>
        <v>0</v>
      </c>
    </row>
    <row r="53" spans="1:16" ht="18" customHeight="1" x14ac:dyDescent="0.25">
      <c r="A53" s="11"/>
      <c r="B53" s="7">
        <v>31</v>
      </c>
      <c r="C53" s="7">
        <v>30</v>
      </c>
      <c r="D53" s="221"/>
      <c r="E53" s="5">
        <v>35</v>
      </c>
      <c r="F53" s="63" t="s">
        <v>156</v>
      </c>
      <c r="G53" s="230"/>
      <c r="H53" s="231"/>
      <c r="I53" s="231"/>
      <c r="J53" s="232"/>
      <c r="K53" s="38" t="s">
        <v>96</v>
      </c>
      <c r="L53" s="75" t="s">
        <v>18</v>
      </c>
      <c r="M53" s="137">
        <f>IF(M52 = 0,0,M52^(2/3))</f>
        <v>0</v>
      </c>
      <c r="N53" s="137">
        <f t="shared" ref="N53:P53" si="9">IF(N52 = 0,0,N52^(2/3))</f>
        <v>0</v>
      </c>
      <c r="O53" s="137">
        <f t="shared" si="9"/>
        <v>0</v>
      </c>
      <c r="P53" s="137">
        <f t="shared" si="9"/>
        <v>0</v>
      </c>
    </row>
    <row r="54" spans="1:16" ht="18" customHeight="1" x14ac:dyDescent="0.25">
      <c r="A54" s="11"/>
      <c r="B54" s="7">
        <v>32</v>
      </c>
      <c r="C54" s="7">
        <v>31</v>
      </c>
      <c r="D54" s="221"/>
      <c r="E54" s="5">
        <v>36</v>
      </c>
      <c r="F54" s="57" t="s">
        <v>157</v>
      </c>
      <c r="G54" s="32" t="s">
        <v>97</v>
      </c>
      <c r="H54" s="39"/>
      <c r="I54" s="39"/>
      <c r="J54" s="40"/>
      <c r="K54" s="27" t="s">
        <v>82</v>
      </c>
      <c r="L54" s="75" t="s">
        <v>189</v>
      </c>
      <c r="M54" s="149">
        <f>IF($M16=0,0,M29/$M16)</f>
        <v>0</v>
      </c>
      <c r="N54" s="149">
        <f t="shared" ref="N54:P54" si="10">IF($M16=0,0,N29/$M16)</f>
        <v>0</v>
      </c>
      <c r="O54" s="149">
        <f t="shared" si="10"/>
        <v>0</v>
      </c>
      <c r="P54" s="149">
        <f t="shared" si="10"/>
        <v>0</v>
      </c>
    </row>
    <row r="55" spans="1:16" ht="18" customHeight="1" x14ac:dyDescent="0.25">
      <c r="A55" s="11"/>
      <c r="B55" s="7">
        <v>33</v>
      </c>
      <c r="C55" s="7">
        <v>32</v>
      </c>
      <c r="D55" s="221"/>
      <c r="E55" s="5">
        <v>37</v>
      </c>
      <c r="F55" s="64" t="s">
        <v>158</v>
      </c>
      <c r="G55" s="233" t="s">
        <v>98</v>
      </c>
      <c r="H55" s="234"/>
      <c r="I55" s="234"/>
      <c r="J55" s="235"/>
      <c r="K55" s="41" t="s">
        <v>99</v>
      </c>
      <c r="L55" s="73" t="s">
        <v>18</v>
      </c>
      <c r="M55" s="150" t="str">
        <f xml:space="preserve"> IF(M50=0," ",M54*$M13/(12*M50))</f>
        <v xml:space="preserve"> </v>
      </c>
      <c r="N55" s="150" t="str">
        <f t="shared" ref="N55:P55" si="11" xml:space="preserve"> IF(N50=0," ",N54*$M13/(12*N50))</f>
        <v xml:space="preserve"> </v>
      </c>
      <c r="O55" s="150" t="str">
        <f t="shared" si="11"/>
        <v xml:space="preserve"> </v>
      </c>
      <c r="P55" s="150" t="str">
        <f t="shared" si="11"/>
        <v xml:space="preserve"> </v>
      </c>
    </row>
    <row r="56" spans="1:16" ht="18" customHeight="1" x14ac:dyDescent="0.25">
      <c r="A56" s="11"/>
      <c r="B56" s="7">
        <v>34</v>
      </c>
      <c r="C56" s="7">
        <v>33</v>
      </c>
      <c r="D56" s="221"/>
      <c r="E56" s="5">
        <v>38</v>
      </c>
      <c r="F56" s="63" t="s">
        <v>159</v>
      </c>
      <c r="G56" s="35" t="s">
        <v>100</v>
      </c>
      <c r="H56" s="42"/>
      <c r="I56" s="42"/>
      <c r="J56" s="43"/>
      <c r="K56" s="30"/>
      <c r="L56" s="75" t="s">
        <v>18</v>
      </c>
      <c r="M56" s="140"/>
      <c r="N56" s="140"/>
      <c r="O56" s="140"/>
      <c r="P56" s="140"/>
    </row>
    <row r="57" spans="1:16" ht="40.5" x14ac:dyDescent="0.25">
      <c r="A57" s="11"/>
      <c r="B57" s="7">
        <v>35</v>
      </c>
      <c r="C57" s="7">
        <v>34</v>
      </c>
      <c r="D57" s="221"/>
      <c r="E57" s="5">
        <v>39</v>
      </c>
      <c r="F57" s="111" t="s">
        <v>210</v>
      </c>
      <c r="G57" s="239" t="s">
        <v>101</v>
      </c>
      <c r="H57" s="240"/>
      <c r="I57" s="240"/>
      <c r="J57" s="241"/>
      <c r="K57" s="30"/>
      <c r="L57" s="75"/>
      <c r="M57" s="142"/>
      <c r="N57" s="142"/>
      <c r="O57" s="142"/>
      <c r="P57" s="142"/>
    </row>
    <row r="58" spans="1:16" s="24" customFormat="1" ht="26.25" customHeight="1" x14ac:dyDescent="0.25">
      <c r="A58" s="21"/>
      <c r="B58" s="7">
        <v>36</v>
      </c>
      <c r="C58" s="7">
        <v>35</v>
      </c>
      <c r="D58" s="221"/>
      <c r="E58" s="5">
        <v>40</v>
      </c>
      <c r="F58" s="63" t="s">
        <v>160</v>
      </c>
      <c r="G58" s="233" t="s">
        <v>215</v>
      </c>
      <c r="H58" s="234"/>
      <c r="I58" s="234"/>
      <c r="J58" s="235"/>
      <c r="K58" s="40" t="s">
        <v>102</v>
      </c>
      <c r="L58" s="75"/>
      <c r="M58" s="136">
        <f>IF((M53*M57)=0,0,M56*M49*M54/(M53*M57))</f>
        <v>0</v>
      </c>
      <c r="N58" s="136">
        <f>(IF($M$8="Steam Coils",0,(IF((N53*N57)=0,0,N56*N49*N54/(N53*N57)))))</f>
        <v>0</v>
      </c>
      <c r="O58" s="136">
        <f t="shared" ref="O58:P58" si="12">(IF($M$8="Steam Coils"," ",(IF((O53*O57)=0,0,O56*O49*O54/(O53*O57)))))</f>
        <v>0</v>
      </c>
      <c r="P58" s="136">
        <f t="shared" si="12"/>
        <v>0</v>
      </c>
    </row>
    <row r="59" spans="1:16" s="24" customFormat="1" ht="26.25" customHeight="1" x14ac:dyDescent="0.25">
      <c r="A59" s="21"/>
      <c r="B59" s="7">
        <v>37</v>
      </c>
      <c r="C59" s="7">
        <v>36</v>
      </c>
      <c r="D59" s="221"/>
      <c r="E59" s="5">
        <v>41</v>
      </c>
      <c r="F59" s="63" t="s">
        <v>161</v>
      </c>
      <c r="G59" s="233" t="s">
        <v>67</v>
      </c>
      <c r="H59" s="234"/>
      <c r="I59" s="234"/>
      <c r="J59" s="235"/>
      <c r="K59" s="40" t="s">
        <v>103</v>
      </c>
      <c r="L59" s="75" t="s">
        <v>184</v>
      </c>
      <c r="M59" s="147">
        <f xml:space="preserve"> IF(M58=0,0,$M14/M58)</f>
        <v>0</v>
      </c>
      <c r="N59" s="147">
        <f xml:space="preserve"> IF(N58=0,0,$M14/N58)</f>
        <v>0</v>
      </c>
      <c r="O59" s="147">
        <f xml:space="preserve"> IF(O58=0,0,$M14/O58)</f>
        <v>0</v>
      </c>
      <c r="P59" s="147">
        <f xml:space="preserve"> IF(P58=0,0,$M14/P58)</f>
        <v>0</v>
      </c>
    </row>
    <row r="60" spans="1:16" s="24" customFormat="1" ht="26.25" customHeight="1" x14ac:dyDescent="0.25">
      <c r="A60" s="21"/>
      <c r="B60" s="7">
        <v>38</v>
      </c>
      <c r="C60" s="7"/>
      <c r="D60" s="221"/>
      <c r="E60" s="5">
        <v>42</v>
      </c>
      <c r="F60" s="63" t="s">
        <v>162</v>
      </c>
      <c r="G60" s="233" t="s">
        <v>64</v>
      </c>
      <c r="H60" s="234"/>
      <c r="I60" s="234"/>
      <c r="J60" s="235"/>
      <c r="K60" s="40" t="s">
        <v>104</v>
      </c>
      <c r="L60" s="76" t="s">
        <v>76</v>
      </c>
      <c r="M60" s="137">
        <f>IF($M$8 ="Fully Wetted"," ",(IF(M46=0,0,M34+(M59/M46)*M40)))</f>
        <v>0</v>
      </c>
      <c r="N60" s="137">
        <f t="shared" ref="N60:P60" si="13">IF($M$8 ="Fully Wetted"," ",(IF(N46=0,0,N34+(N59/N46)*N40)))</f>
        <v>0</v>
      </c>
      <c r="O60" s="137">
        <f t="shared" si="13"/>
        <v>0</v>
      </c>
      <c r="P60" s="137">
        <f t="shared" si="13"/>
        <v>0</v>
      </c>
    </row>
    <row r="61" spans="1:16" s="24" customFormat="1" ht="26.25" customHeight="1" x14ac:dyDescent="0.25">
      <c r="A61" s="21"/>
      <c r="B61" s="7">
        <v>39</v>
      </c>
      <c r="C61" s="7"/>
      <c r="D61" s="221"/>
      <c r="E61" s="5">
        <v>43</v>
      </c>
      <c r="F61" s="62" t="s">
        <v>163</v>
      </c>
      <c r="G61" s="32" t="s">
        <v>105</v>
      </c>
      <c r="H61" s="44"/>
      <c r="I61" s="44"/>
      <c r="J61" s="45"/>
      <c r="K61" s="40"/>
      <c r="L61" s="75" t="s">
        <v>187</v>
      </c>
      <c r="M61" s="142">
        <v>2.8915000000000002</v>
      </c>
      <c r="N61" s="142">
        <v>2.9984000000000002</v>
      </c>
      <c r="O61" s="142"/>
      <c r="P61" s="142"/>
    </row>
    <row r="62" spans="1:16" s="24" customFormat="1" ht="40.5" customHeight="1" x14ac:dyDescent="0.25">
      <c r="A62" s="21"/>
      <c r="B62" s="7">
        <v>40</v>
      </c>
      <c r="C62" s="7"/>
      <c r="D62" s="221"/>
      <c r="E62" s="5">
        <v>44</v>
      </c>
      <c r="F62" s="111" t="s">
        <v>211</v>
      </c>
      <c r="G62" s="236" t="s">
        <v>124</v>
      </c>
      <c r="H62" s="237"/>
      <c r="I62" s="237"/>
      <c r="J62" s="238"/>
      <c r="K62" s="40"/>
      <c r="L62" s="75"/>
      <c r="M62" s="151">
        <f>IF(M50=0,0, (M61/M50)^0.14)</f>
        <v>0</v>
      </c>
      <c r="N62" s="151">
        <f>IF(N50=0,0, (N61/N50)^0.14)</f>
        <v>0</v>
      </c>
      <c r="O62" s="151">
        <f t="shared" ref="O62:P62" si="14">IF(O50=0,0, (O61/O50)^0.14)</f>
        <v>0</v>
      </c>
      <c r="P62" s="151">
        <f t="shared" si="14"/>
        <v>0</v>
      </c>
    </row>
    <row r="63" spans="1:16" s="24" customFormat="1" ht="27.95" customHeight="1" x14ac:dyDescent="0.25">
      <c r="A63" s="6"/>
      <c r="B63" s="5">
        <v>41</v>
      </c>
      <c r="C63" s="12"/>
      <c r="D63" s="221"/>
      <c r="E63" s="5">
        <v>45</v>
      </c>
      <c r="F63" s="57" t="s">
        <v>216</v>
      </c>
      <c r="G63" s="209" t="s">
        <v>219</v>
      </c>
      <c r="H63" s="210"/>
      <c r="I63" s="210"/>
      <c r="J63" s="211"/>
      <c r="K63" s="52" t="s">
        <v>220</v>
      </c>
      <c r="L63" s="75" t="s">
        <v>190</v>
      </c>
      <c r="M63" s="136">
        <f xml:space="preserve"> IF(M62=0,0,M58*M62/M57)</f>
        <v>0</v>
      </c>
      <c r="N63" s="136">
        <f t="shared" ref="N63:P63" si="15" xml:space="preserve"> IF(N62=0,0,N58*N62/N57)</f>
        <v>0</v>
      </c>
      <c r="O63" s="136">
        <f t="shared" si="15"/>
        <v>0</v>
      </c>
      <c r="P63" s="136">
        <f t="shared" si="15"/>
        <v>0</v>
      </c>
    </row>
    <row r="64" spans="1:16" s="24" customFormat="1" ht="18" customHeight="1" x14ac:dyDescent="0.25">
      <c r="A64" s="202" t="s">
        <v>61</v>
      </c>
      <c r="B64" s="215">
        <v>42</v>
      </c>
      <c r="C64" s="215"/>
      <c r="D64" s="221"/>
      <c r="E64" s="215">
        <v>46</v>
      </c>
      <c r="F64" s="66" t="s">
        <v>217</v>
      </c>
      <c r="G64" s="209" t="s">
        <v>38</v>
      </c>
      <c r="H64" s="210"/>
      <c r="I64" s="210"/>
      <c r="J64" s="211"/>
      <c r="K64" s="16" t="s">
        <v>106</v>
      </c>
      <c r="L64" s="75" t="s">
        <v>184</v>
      </c>
      <c r="M64" s="89" t="str">
        <f xml:space="preserve"> IF($M$8 = "Steam Coils",$M14/2000, " ")</f>
        <v xml:space="preserve"> </v>
      </c>
      <c r="N64" s="89" t="str">
        <f t="shared" ref="N64:P64" si="16" xml:space="preserve"> IF($M$8 = "Steam Coils",$M14/2000, " ")</f>
        <v xml:space="preserve"> </v>
      </c>
      <c r="O64" s="89" t="str">
        <f t="shared" si="16"/>
        <v xml:space="preserve"> </v>
      </c>
      <c r="P64" s="89" t="str">
        <f t="shared" si="16"/>
        <v xml:space="preserve"> </v>
      </c>
    </row>
    <row r="65" spans="1:16" s="24" customFormat="1" ht="18" customHeight="1" x14ac:dyDescent="0.25">
      <c r="A65" s="245"/>
      <c r="B65" s="216"/>
      <c r="C65" s="216"/>
      <c r="D65" s="221"/>
      <c r="E65" s="216"/>
      <c r="F65" s="65" t="s">
        <v>164</v>
      </c>
      <c r="G65" s="206" t="s">
        <v>65</v>
      </c>
      <c r="H65" s="207"/>
      <c r="I65" s="207"/>
      <c r="J65" s="208"/>
      <c r="K65" s="16" t="s">
        <v>221</v>
      </c>
      <c r="L65" s="75" t="s">
        <v>184</v>
      </c>
      <c r="M65" s="147">
        <f>IF(M63=0,0,$M14*(1/M63))</f>
        <v>0</v>
      </c>
      <c r="N65" s="147">
        <f t="shared" ref="N65:P65" si="17">IF(N63=0,0,$M14*(1/N63))</f>
        <v>0</v>
      </c>
      <c r="O65" s="147">
        <f t="shared" si="17"/>
        <v>0</v>
      </c>
      <c r="P65" s="147">
        <f t="shared" si="17"/>
        <v>0</v>
      </c>
    </row>
    <row r="66" spans="1:16" s="24" customFormat="1" ht="18" customHeight="1" x14ac:dyDescent="0.25">
      <c r="A66" s="249" t="s">
        <v>61</v>
      </c>
      <c r="B66" s="249">
        <v>43</v>
      </c>
      <c r="C66" s="202"/>
      <c r="D66" s="221"/>
      <c r="E66" s="202">
        <v>47</v>
      </c>
      <c r="F66" s="246" t="s">
        <v>165</v>
      </c>
      <c r="G66" s="209" t="s">
        <v>39</v>
      </c>
      <c r="H66" s="210"/>
      <c r="I66" s="210"/>
      <c r="J66" s="211"/>
      <c r="K66" s="47" t="s">
        <v>218</v>
      </c>
      <c r="L66" s="75" t="s">
        <v>184</v>
      </c>
      <c r="M66" s="138">
        <f>IF($M$8 = "Fully Wetted"," ",(IF($J6="single tube steam",M46-M64,M46-M65)))</f>
        <v>0</v>
      </c>
      <c r="N66" s="138">
        <f t="shared" ref="N66:P66" si="18">IF($M$8 = "Fully Wetted"," ",(IF($J6="single tube steam",N46-N64,N46-N65)))</f>
        <v>0</v>
      </c>
      <c r="O66" s="138">
        <f t="shared" si="18"/>
        <v>0</v>
      </c>
      <c r="P66" s="138">
        <f t="shared" si="18"/>
        <v>0</v>
      </c>
    </row>
    <row r="67" spans="1:16" s="24" customFormat="1" ht="27.95" customHeight="1" x14ac:dyDescent="0.25">
      <c r="A67" s="250"/>
      <c r="B67" s="250"/>
      <c r="C67" s="203"/>
      <c r="D67" s="221"/>
      <c r="E67" s="248"/>
      <c r="F67" s="247"/>
      <c r="G67" s="209" t="s">
        <v>233</v>
      </c>
      <c r="H67" s="210"/>
      <c r="I67" s="210"/>
      <c r="J67" s="210"/>
      <c r="K67" s="211"/>
      <c r="L67" s="78"/>
      <c r="M67" s="92"/>
      <c r="N67" s="73"/>
      <c r="O67" s="73"/>
      <c r="P67" s="73"/>
    </row>
    <row r="68" spans="1:16" s="24" customFormat="1" ht="27.95" customHeight="1" x14ac:dyDescent="0.25">
      <c r="A68" s="5" t="s">
        <v>61</v>
      </c>
      <c r="B68" s="55">
        <v>44</v>
      </c>
      <c r="C68" s="5">
        <v>37</v>
      </c>
      <c r="D68" s="221"/>
      <c r="E68" s="8">
        <v>48</v>
      </c>
      <c r="F68" s="57" t="s">
        <v>166</v>
      </c>
      <c r="G68" s="209" t="s">
        <v>234</v>
      </c>
      <c r="H68" s="210"/>
      <c r="I68" s="210"/>
      <c r="J68" s="211"/>
      <c r="K68" s="52" t="s">
        <v>235</v>
      </c>
      <c r="L68" s="75" t="s">
        <v>184</v>
      </c>
      <c r="M68" s="139"/>
      <c r="N68" s="139"/>
      <c r="O68" s="139"/>
      <c r="P68" s="139"/>
    </row>
    <row r="69" spans="1:16" s="24" customFormat="1" ht="27.95" customHeight="1" x14ac:dyDescent="0.25">
      <c r="A69" s="5" t="s">
        <v>61</v>
      </c>
      <c r="B69" s="55">
        <v>45</v>
      </c>
      <c r="C69" s="162"/>
      <c r="D69" s="221"/>
      <c r="E69" s="8">
        <v>49</v>
      </c>
      <c r="F69" s="57"/>
      <c r="G69" s="209" t="s">
        <v>236</v>
      </c>
      <c r="H69" s="210"/>
      <c r="I69" s="210"/>
      <c r="J69" s="210"/>
      <c r="K69" s="211"/>
      <c r="L69" s="74" t="s">
        <v>55</v>
      </c>
      <c r="M69" s="89"/>
      <c r="N69" s="73"/>
      <c r="O69" s="73"/>
      <c r="P69" s="73"/>
    </row>
    <row r="70" spans="1:16" s="24" customFormat="1" ht="18" customHeight="1" x14ac:dyDescent="0.25">
      <c r="A70" s="6"/>
      <c r="B70" s="5">
        <v>46</v>
      </c>
      <c r="C70" s="5">
        <v>38</v>
      </c>
      <c r="D70" s="221"/>
      <c r="E70" s="5">
        <v>50</v>
      </c>
      <c r="F70" s="57" t="s">
        <v>167</v>
      </c>
      <c r="G70" s="209" t="s">
        <v>40</v>
      </c>
      <c r="H70" s="210"/>
      <c r="I70" s="210"/>
      <c r="J70" s="211"/>
      <c r="K70" s="16" t="s">
        <v>107</v>
      </c>
      <c r="L70" s="75" t="s">
        <v>190</v>
      </c>
      <c r="M70" s="141">
        <f>IF(M68=0,0,1/M68)</f>
        <v>0</v>
      </c>
      <c r="N70" s="141">
        <f t="shared" ref="N70:P70" si="19">IF(N68=0,0,1/N68)</f>
        <v>0</v>
      </c>
      <c r="O70" s="141">
        <f t="shared" si="19"/>
        <v>0</v>
      </c>
      <c r="P70" s="141">
        <f t="shared" si="19"/>
        <v>0</v>
      </c>
    </row>
    <row r="71" spans="1:16" s="24" customFormat="1" ht="27.95" customHeight="1" x14ac:dyDescent="0.25">
      <c r="A71" s="6"/>
      <c r="B71" s="5">
        <v>47</v>
      </c>
      <c r="C71" s="5">
        <v>39</v>
      </c>
      <c r="D71" s="221"/>
      <c r="E71" s="8">
        <v>51</v>
      </c>
      <c r="F71" s="67" t="s">
        <v>168</v>
      </c>
      <c r="G71" s="209" t="s">
        <v>41</v>
      </c>
      <c r="H71" s="210"/>
      <c r="I71" s="210"/>
      <c r="J71" s="211"/>
      <c r="K71" s="52" t="s">
        <v>237</v>
      </c>
      <c r="L71" s="75" t="s">
        <v>184</v>
      </c>
      <c r="M71" s="140"/>
      <c r="N71" s="140"/>
      <c r="O71" s="140"/>
      <c r="P71" s="140"/>
    </row>
    <row r="72" spans="1:16" s="24" customFormat="1" ht="18.75" customHeight="1" x14ac:dyDescent="0.25">
      <c r="A72" s="6"/>
      <c r="B72" s="5"/>
      <c r="C72" s="5">
        <v>40</v>
      </c>
      <c r="D72" s="221"/>
      <c r="E72" s="5">
        <v>52</v>
      </c>
      <c r="F72" s="57" t="s">
        <v>169</v>
      </c>
      <c r="G72" s="209" t="s">
        <v>42</v>
      </c>
      <c r="H72" s="210"/>
      <c r="I72" s="210"/>
      <c r="J72" s="211"/>
      <c r="K72" s="16" t="s">
        <v>108</v>
      </c>
      <c r="L72" s="73" t="s">
        <v>34</v>
      </c>
      <c r="M72" s="141">
        <f>0.5*(M24+M26)</f>
        <v>0</v>
      </c>
      <c r="N72" s="141">
        <f>0.5*(N24+N26)</f>
        <v>0</v>
      </c>
      <c r="O72" s="141">
        <f>0.5*(O24+O26)</f>
        <v>0</v>
      </c>
      <c r="P72" s="141">
        <f>0.5*(P24+P26)</f>
        <v>0</v>
      </c>
    </row>
    <row r="73" spans="1:16" s="24" customFormat="1" ht="27.95" customHeight="1" x14ac:dyDescent="0.25">
      <c r="A73" s="9"/>
      <c r="B73" s="7"/>
      <c r="C73" s="7">
        <v>41</v>
      </c>
      <c r="D73" s="221"/>
      <c r="E73" s="7">
        <v>53</v>
      </c>
      <c r="F73" s="25" t="s">
        <v>43</v>
      </c>
      <c r="G73" s="206" t="s">
        <v>224</v>
      </c>
      <c r="H73" s="207"/>
      <c r="I73" s="207"/>
      <c r="J73" s="208"/>
      <c r="K73" s="46" t="s">
        <v>109</v>
      </c>
      <c r="L73" s="79" t="s">
        <v>191</v>
      </c>
      <c r="M73" s="141">
        <f>IF(AND(M37&lt;1, M68&gt;0),(M65+M71)/(0.243*M68),0)</f>
        <v>0</v>
      </c>
      <c r="N73" s="141">
        <f>IF(AND(N37&lt;1, N68&gt;0),(N65+N71)/(0.243*N68),0)</f>
        <v>0</v>
      </c>
      <c r="O73" s="141">
        <f>IF(AND(O37&lt;1, O68&gt;0),(O65+O71)/(0.243*O68),0)</f>
        <v>0</v>
      </c>
      <c r="P73" s="141">
        <f>IF(AND(P37&lt;1, P68&gt;0),(P65+P71)/(0.243*P68),0)</f>
        <v>0</v>
      </c>
    </row>
    <row r="74" spans="1:16" s="24" customFormat="1" ht="27.95" customHeight="1" x14ac:dyDescent="0.25">
      <c r="A74" s="9"/>
      <c r="B74" s="7"/>
      <c r="C74" s="7">
        <v>42</v>
      </c>
      <c r="D74" s="221"/>
      <c r="E74" s="7">
        <v>54</v>
      </c>
      <c r="F74" s="25" t="s">
        <v>170</v>
      </c>
      <c r="G74" s="209" t="s">
        <v>225</v>
      </c>
      <c r="H74" s="210"/>
      <c r="I74" s="210"/>
      <c r="J74" s="210"/>
      <c r="K74" s="211"/>
      <c r="L74" s="73" t="s">
        <v>182</v>
      </c>
      <c r="M74" s="137">
        <v>57</v>
      </c>
      <c r="N74" s="135"/>
      <c r="O74" s="135"/>
      <c r="P74" s="135"/>
    </row>
    <row r="75" spans="1:16" s="24" customFormat="1" ht="27.95" customHeight="1" x14ac:dyDescent="0.25">
      <c r="A75" s="9"/>
      <c r="B75" s="7"/>
      <c r="C75" s="7">
        <v>43</v>
      </c>
      <c r="D75" s="221"/>
      <c r="E75" s="7">
        <v>55</v>
      </c>
      <c r="F75" s="25" t="s">
        <v>44</v>
      </c>
      <c r="G75" s="209" t="s">
        <v>238</v>
      </c>
      <c r="H75" s="210"/>
      <c r="I75" s="210"/>
      <c r="J75" s="210"/>
      <c r="K75" s="211"/>
      <c r="L75" s="73"/>
      <c r="M75" s="135">
        <v>2.67</v>
      </c>
      <c r="N75" s="135"/>
      <c r="O75" s="135"/>
      <c r="P75" s="135"/>
    </row>
    <row r="76" spans="1:16" s="24" customFormat="1" ht="38.1" customHeight="1" x14ac:dyDescent="0.25">
      <c r="A76" s="9"/>
      <c r="B76" s="7"/>
      <c r="C76" s="7">
        <v>44</v>
      </c>
      <c r="D76" s="221"/>
      <c r="E76" s="7">
        <v>56</v>
      </c>
      <c r="F76" s="25" t="s">
        <v>171</v>
      </c>
      <c r="G76" s="209" t="s">
        <v>125</v>
      </c>
      <c r="H76" s="210"/>
      <c r="I76" s="210"/>
      <c r="J76" s="211"/>
      <c r="K76" s="16"/>
      <c r="L76" s="75" t="s">
        <v>184</v>
      </c>
      <c r="M76" s="139">
        <v>8.4000000000000005E-2</v>
      </c>
      <c r="N76" s="139"/>
      <c r="O76" s="139"/>
      <c r="P76" s="139"/>
    </row>
    <row r="77" spans="1:16" s="24" customFormat="1" ht="20.100000000000001" customHeight="1" x14ac:dyDescent="0.25">
      <c r="A77" s="6"/>
      <c r="B77" s="5"/>
      <c r="C77" s="5">
        <v>45</v>
      </c>
      <c r="D77" s="221"/>
      <c r="E77" s="5">
        <v>57</v>
      </c>
      <c r="F77" s="57" t="s">
        <v>172</v>
      </c>
      <c r="G77" s="209" t="s">
        <v>122</v>
      </c>
      <c r="H77" s="210"/>
      <c r="I77" s="210"/>
      <c r="J77" s="211"/>
      <c r="K77" s="16" t="s">
        <v>110</v>
      </c>
      <c r="L77" s="75" t="s">
        <v>190</v>
      </c>
      <c r="M77" s="137">
        <f>IF(M76=0,0,M75/M76)</f>
        <v>31.785714285714281</v>
      </c>
      <c r="N77" s="137"/>
      <c r="O77" s="137"/>
      <c r="P77" s="137"/>
    </row>
    <row r="78" spans="1:16" s="24" customFormat="1" ht="27.95" customHeight="1" x14ac:dyDescent="0.25">
      <c r="A78" s="9"/>
      <c r="B78" s="7"/>
      <c r="C78" s="7">
        <v>46</v>
      </c>
      <c r="D78" s="221"/>
      <c r="E78" s="7">
        <v>58</v>
      </c>
      <c r="F78" s="68" t="s">
        <v>173</v>
      </c>
      <c r="G78" s="209" t="s">
        <v>239</v>
      </c>
      <c r="H78" s="210"/>
      <c r="I78" s="210"/>
      <c r="J78" s="211"/>
      <c r="K78" s="16"/>
      <c r="L78" s="75" t="s">
        <v>184</v>
      </c>
      <c r="M78" s="139">
        <v>1.2999999999999999E-2</v>
      </c>
      <c r="N78" s="87"/>
      <c r="O78" s="87"/>
      <c r="P78" s="87"/>
    </row>
    <row r="79" spans="1:16" s="24" customFormat="1" ht="20.100000000000001" customHeight="1" x14ac:dyDescent="0.25">
      <c r="A79" s="9"/>
      <c r="B79" s="7"/>
      <c r="C79" s="7">
        <v>47</v>
      </c>
      <c r="D79" s="221"/>
      <c r="E79" s="28">
        <v>59</v>
      </c>
      <c r="F79" s="68" t="s">
        <v>43</v>
      </c>
      <c r="G79" s="212" t="s">
        <v>45</v>
      </c>
      <c r="H79" s="213"/>
      <c r="I79" s="213"/>
      <c r="J79" s="214"/>
      <c r="K79" s="47" t="s">
        <v>111</v>
      </c>
      <c r="L79" s="79" t="s">
        <v>191</v>
      </c>
      <c r="M79" s="152">
        <f>IF(M76=0,0,(M65+M78)/(0.243*M76))</f>
        <v>0.63688026650989615</v>
      </c>
      <c r="N79" s="152">
        <f>IF(N76=0,0,(N65+N78)/(0.243*N76))</f>
        <v>0</v>
      </c>
      <c r="O79" s="152">
        <f>IF(O76=0,0,(O65+O78)/(0.243*O76))</f>
        <v>0</v>
      </c>
      <c r="P79" s="152">
        <f>IF(P76=0,0,(P65+P78)/(0.243*P76))</f>
        <v>0</v>
      </c>
    </row>
    <row r="80" spans="1:16" s="24" customFormat="1" ht="20.100000000000001" customHeight="1" x14ac:dyDescent="0.25">
      <c r="A80" s="9"/>
      <c r="B80" s="7"/>
      <c r="C80" s="17">
        <v>48</v>
      </c>
      <c r="D80" s="221"/>
      <c r="E80" s="28">
        <v>60</v>
      </c>
      <c r="F80" s="69" t="s">
        <v>162</v>
      </c>
      <c r="G80" s="233" t="s">
        <v>64</v>
      </c>
      <c r="H80" s="234"/>
      <c r="I80" s="234"/>
      <c r="J80" s="235"/>
      <c r="K80" s="108" t="s">
        <v>209</v>
      </c>
      <c r="L80" s="80" t="s">
        <v>192</v>
      </c>
      <c r="M80" s="153">
        <f xml:space="preserve"> IF((M59 + M78 )=0,0,M34 + ( M59/(M59 + M78 ))* (M74 - M34))</f>
        <v>0</v>
      </c>
      <c r="N80" s="153">
        <f xml:space="preserve"> IF((N59 + N78 )=0,0,N34 + ( N59/(N59 + N78 ))* (N74 - N34))</f>
        <v>0</v>
      </c>
      <c r="O80" s="153">
        <f xml:space="preserve"> IF((O59 + O78 )=0,0,O34 + ( O59/(O59 + O78 ))* (O74 - O34))</f>
        <v>0</v>
      </c>
      <c r="P80" s="153">
        <f xml:space="preserve"> IF((P59 + P78 )=0,0,P34 + ( P59/(P59 + P78 ))* (P74 - P34))</f>
        <v>0</v>
      </c>
    </row>
    <row r="81" spans="1:16" s="24" customFormat="1" ht="20.100000000000001" customHeight="1" x14ac:dyDescent="0.25">
      <c r="A81" s="9"/>
      <c r="B81" s="7"/>
      <c r="C81" s="17">
        <v>49</v>
      </c>
      <c r="D81" s="221"/>
      <c r="E81" s="28">
        <v>61</v>
      </c>
      <c r="F81" s="70" t="s">
        <v>163</v>
      </c>
      <c r="G81" s="32" t="s">
        <v>105</v>
      </c>
      <c r="H81" s="44"/>
      <c r="I81" s="44"/>
      <c r="J81" s="45"/>
      <c r="K81" s="48"/>
      <c r="L81" s="79" t="s">
        <v>187</v>
      </c>
      <c r="M81" s="131">
        <v>2.9533999999999998</v>
      </c>
      <c r="N81" s="87"/>
      <c r="O81" s="87"/>
      <c r="P81" s="87"/>
    </row>
    <row r="82" spans="1:16" s="24" customFormat="1" ht="45" customHeight="1" x14ac:dyDescent="0.25">
      <c r="A82" s="9"/>
      <c r="B82" s="7"/>
      <c r="C82" s="17">
        <v>50</v>
      </c>
      <c r="D82" s="221"/>
      <c r="E82" s="28">
        <v>62</v>
      </c>
      <c r="F82" s="54" t="s">
        <v>199</v>
      </c>
      <c r="G82" s="236" t="s">
        <v>112</v>
      </c>
      <c r="H82" s="237"/>
      <c r="I82" s="237"/>
      <c r="J82" s="238"/>
      <c r="K82" s="48"/>
      <c r="L82" s="79" t="s">
        <v>18</v>
      </c>
      <c r="M82" s="154">
        <f xml:space="preserve"> IF(M50=0,0,(M81/M50)^0.14)</f>
        <v>0</v>
      </c>
      <c r="N82" s="154">
        <f xml:space="preserve"> IF(N50=0,0,(N81/N50)^0.14)</f>
        <v>0</v>
      </c>
      <c r="O82" s="154">
        <f xml:space="preserve"> IF(O50=0,0,(O81/O50)^0.14)</f>
        <v>0</v>
      </c>
      <c r="P82" s="154">
        <f xml:space="preserve"> IF(P50=0,0,(P81/P50)^0.14)</f>
        <v>0</v>
      </c>
    </row>
    <row r="83" spans="1:16" s="24" customFormat="1" ht="33" customHeight="1" x14ac:dyDescent="0.25">
      <c r="A83" s="6"/>
      <c r="B83" s="5"/>
      <c r="C83" s="55">
        <v>51</v>
      </c>
      <c r="D83" s="221"/>
      <c r="E83" s="5">
        <v>63</v>
      </c>
      <c r="F83" s="57" t="s">
        <v>216</v>
      </c>
      <c r="G83" s="209" t="s">
        <v>219</v>
      </c>
      <c r="H83" s="210"/>
      <c r="I83" s="210"/>
      <c r="J83" s="211"/>
      <c r="K83" s="52" t="s">
        <v>220</v>
      </c>
      <c r="L83" s="75" t="s">
        <v>190</v>
      </c>
      <c r="M83" s="136">
        <f xml:space="preserve"> IF(M82=0,0,M58*M82/M57)</f>
        <v>0</v>
      </c>
      <c r="N83" s="136">
        <f xml:space="preserve"> IF(N82=0,0,N58*N82/N57)</f>
        <v>0</v>
      </c>
      <c r="O83" s="136">
        <f xml:space="preserve"> IF(O82=0,0,O58*O82/O57)</f>
        <v>0</v>
      </c>
      <c r="P83" s="136">
        <f xml:space="preserve"> IF(P82=0,0,P58*P82/P57)</f>
        <v>0</v>
      </c>
    </row>
    <row r="84" spans="1:16" s="24" customFormat="1" ht="21.95" customHeight="1" x14ac:dyDescent="0.25">
      <c r="A84" s="9"/>
      <c r="B84" s="7"/>
      <c r="C84" s="130">
        <v>52</v>
      </c>
      <c r="D84" s="221"/>
      <c r="E84" s="7">
        <v>64</v>
      </c>
      <c r="F84" s="65" t="s">
        <v>164</v>
      </c>
      <c r="G84" s="206" t="s">
        <v>65</v>
      </c>
      <c r="H84" s="207"/>
      <c r="I84" s="207"/>
      <c r="J84" s="208"/>
      <c r="K84" s="16" t="s">
        <v>221</v>
      </c>
      <c r="L84" s="75" t="s">
        <v>184</v>
      </c>
      <c r="M84" s="155">
        <f xml:space="preserve"> IF((M83)=0,0,$M14*(1/M83))</f>
        <v>0</v>
      </c>
      <c r="N84" s="155">
        <f t="shared" ref="N84:P84" si="20" xml:space="preserve"> IF((N83)=0,0,$M14*(1/N83))</f>
        <v>0</v>
      </c>
      <c r="O84" s="155">
        <f t="shared" si="20"/>
        <v>0</v>
      </c>
      <c r="P84" s="155">
        <f t="shared" si="20"/>
        <v>0</v>
      </c>
    </row>
    <row r="85" spans="1:16" s="24" customFormat="1" ht="30" customHeight="1" x14ac:dyDescent="0.25">
      <c r="A85" s="301"/>
      <c r="B85" s="202"/>
      <c r="C85" s="303">
        <v>53</v>
      </c>
      <c r="D85" s="221"/>
      <c r="E85" s="7">
        <v>65</v>
      </c>
      <c r="F85" s="71" t="s">
        <v>174</v>
      </c>
      <c r="G85" s="209" t="s">
        <v>46</v>
      </c>
      <c r="H85" s="210"/>
      <c r="I85" s="210"/>
      <c r="J85" s="211"/>
      <c r="K85" s="53" t="s">
        <v>113</v>
      </c>
      <c r="L85" s="81" t="s">
        <v>182</v>
      </c>
      <c r="M85" s="161"/>
      <c r="N85" s="134"/>
      <c r="O85" s="134"/>
      <c r="P85" s="134"/>
    </row>
    <row r="86" spans="1:16" s="24" customFormat="1" ht="15" customHeight="1" x14ac:dyDescent="0.25">
      <c r="A86" s="309"/>
      <c r="B86" s="307"/>
      <c r="C86" s="304"/>
      <c r="D86" s="221"/>
      <c r="E86" s="18"/>
      <c r="F86" s="60"/>
      <c r="G86" s="209" t="s">
        <v>47</v>
      </c>
      <c r="H86" s="210"/>
      <c r="I86" s="210"/>
      <c r="J86" s="210"/>
      <c r="K86" s="211"/>
      <c r="L86" s="82"/>
      <c r="M86" s="93"/>
      <c r="N86" s="132"/>
      <c r="O86" s="132"/>
      <c r="P86" s="132"/>
    </row>
    <row r="87" spans="1:16" s="24" customFormat="1" ht="15" customHeight="1" x14ac:dyDescent="0.25">
      <c r="A87" s="308"/>
      <c r="B87" s="308"/>
      <c r="C87" s="305"/>
      <c r="D87" s="221"/>
      <c r="E87" s="19"/>
      <c r="F87" s="60"/>
      <c r="G87" s="209" t="s">
        <v>84</v>
      </c>
      <c r="H87" s="210"/>
      <c r="I87" s="210"/>
      <c r="J87" s="210"/>
      <c r="K87" s="211"/>
      <c r="L87" s="82"/>
      <c r="M87" s="93"/>
      <c r="N87" s="132"/>
      <c r="O87" s="132"/>
      <c r="P87" s="132"/>
    </row>
    <row r="88" spans="1:16" s="24" customFormat="1" ht="30" customHeight="1" x14ac:dyDescent="0.25">
      <c r="A88" s="308"/>
      <c r="B88" s="308"/>
      <c r="C88" s="305"/>
      <c r="D88" s="221"/>
      <c r="E88" s="19"/>
      <c r="F88" s="60"/>
      <c r="G88" s="209" t="s">
        <v>114</v>
      </c>
      <c r="H88" s="210"/>
      <c r="I88" s="210"/>
      <c r="J88" s="210"/>
      <c r="K88" s="211"/>
      <c r="L88" s="82"/>
      <c r="M88" s="93"/>
      <c r="N88" s="132"/>
      <c r="O88" s="132"/>
      <c r="P88" s="132"/>
    </row>
    <row r="89" spans="1:16" s="24" customFormat="1" ht="27.75" customHeight="1" x14ac:dyDescent="0.25">
      <c r="A89" s="248"/>
      <c r="B89" s="248"/>
      <c r="C89" s="306"/>
      <c r="D89" s="221"/>
      <c r="E89" s="20"/>
      <c r="F89" s="61"/>
      <c r="G89" s="206" t="s">
        <v>115</v>
      </c>
      <c r="H89" s="207"/>
      <c r="I89" s="207"/>
      <c r="J89" s="207"/>
      <c r="K89" s="208"/>
      <c r="L89" s="78"/>
      <c r="M89" s="94"/>
      <c r="N89" s="133"/>
      <c r="O89" s="133"/>
      <c r="P89" s="133"/>
    </row>
    <row r="90" spans="1:16" s="24" customFormat="1" ht="18" customHeight="1" x14ac:dyDescent="0.25">
      <c r="A90" s="301"/>
      <c r="B90" s="202"/>
      <c r="C90" s="200">
        <v>54</v>
      </c>
      <c r="D90" s="221"/>
      <c r="E90" s="7">
        <v>66</v>
      </c>
      <c r="F90" s="25" t="s">
        <v>175</v>
      </c>
      <c r="G90" s="242" t="s">
        <v>48</v>
      </c>
      <c r="H90" s="243"/>
      <c r="I90" s="243"/>
      <c r="J90" s="244"/>
      <c r="K90" s="32"/>
      <c r="L90" s="76" t="s">
        <v>76</v>
      </c>
      <c r="M90" s="135"/>
      <c r="N90" s="135"/>
      <c r="O90" s="135"/>
      <c r="P90" s="135"/>
    </row>
    <row r="91" spans="1:16" s="24" customFormat="1" ht="53.1" customHeight="1" x14ac:dyDescent="0.25">
      <c r="A91" s="302"/>
      <c r="B91" s="203"/>
      <c r="C91" s="201"/>
      <c r="D91" s="221"/>
      <c r="E91" s="8"/>
      <c r="F91" s="61"/>
      <c r="G91" s="206" t="s">
        <v>226</v>
      </c>
      <c r="H91" s="207"/>
      <c r="I91" s="207"/>
      <c r="J91" s="207"/>
      <c r="K91" s="208"/>
      <c r="L91" s="78"/>
      <c r="M91" s="92"/>
      <c r="N91" s="84"/>
      <c r="O91" s="73"/>
      <c r="P91" s="73"/>
    </row>
    <row r="92" spans="1:16" s="24" customFormat="1" x14ac:dyDescent="0.25">
      <c r="A92" s="9"/>
      <c r="B92" s="7"/>
      <c r="C92" s="7">
        <v>55</v>
      </c>
      <c r="D92" s="221"/>
      <c r="E92" s="18">
        <v>67</v>
      </c>
      <c r="F92" s="60" t="s">
        <v>176</v>
      </c>
      <c r="G92" s="242" t="s">
        <v>116</v>
      </c>
      <c r="H92" s="243"/>
      <c r="I92" s="243"/>
      <c r="J92" s="244"/>
      <c r="K92" s="16"/>
      <c r="L92" s="83" t="s">
        <v>34</v>
      </c>
      <c r="M92" s="156"/>
      <c r="N92" s="135"/>
      <c r="O92" s="135"/>
      <c r="P92" s="135"/>
    </row>
    <row r="93" spans="1:16" s="24" customFormat="1" x14ac:dyDescent="0.25">
      <c r="A93" s="9"/>
      <c r="B93" s="7"/>
      <c r="C93" s="7">
        <v>56</v>
      </c>
      <c r="D93" s="221"/>
      <c r="E93" s="7">
        <v>68</v>
      </c>
      <c r="F93" s="25" t="s">
        <v>177</v>
      </c>
      <c r="G93" s="242" t="s">
        <v>49</v>
      </c>
      <c r="H93" s="243"/>
      <c r="I93" s="243"/>
      <c r="J93" s="244"/>
      <c r="K93" s="32"/>
      <c r="L93" s="76" t="s">
        <v>76</v>
      </c>
      <c r="M93" s="135"/>
      <c r="N93" s="135"/>
      <c r="O93" s="135"/>
      <c r="P93" s="135"/>
    </row>
    <row r="94" spans="1:16" s="24" customFormat="1" ht="43.5" customHeight="1" x14ac:dyDescent="0.25">
      <c r="A94" s="10"/>
      <c r="B94" s="8"/>
      <c r="C94" s="8"/>
      <c r="D94" s="221"/>
      <c r="E94" s="8"/>
      <c r="F94" s="61"/>
      <c r="G94" s="206" t="s">
        <v>227</v>
      </c>
      <c r="H94" s="207"/>
      <c r="I94" s="207"/>
      <c r="J94" s="207"/>
      <c r="K94" s="208"/>
      <c r="L94" s="78"/>
      <c r="M94" s="92"/>
      <c r="N94" s="73"/>
      <c r="O94" s="73"/>
      <c r="P94" s="73"/>
    </row>
    <row r="95" spans="1:16" s="24" customFormat="1" ht="18" customHeight="1" x14ac:dyDescent="0.25">
      <c r="A95" s="10"/>
      <c r="B95" s="8"/>
      <c r="C95" s="8">
        <v>57</v>
      </c>
      <c r="D95" s="221"/>
      <c r="E95" s="8">
        <v>69</v>
      </c>
      <c r="F95" s="61" t="s">
        <v>178</v>
      </c>
      <c r="G95" s="242" t="s">
        <v>117</v>
      </c>
      <c r="H95" s="243"/>
      <c r="I95" s="243"/>
      <c r="J95" s="244"/>
      <c r="K95" s="16"/>
      <c r="L95" s="84" t="s">
        <v>34</v>
      </c>
      <c r="M95" s="157"/>
      <c r="N95" s="135"/>
      <c r="O95" s="135"/>
      <c r="P95" s="135"/>
    </row>
    <row r="96" spans="1:16" s="24" customFormat="1" ht="36.75" customHeight="1" x14ac:dyDescent="0.25">
      <c r="A96" s="6"/>
      <c r="B96" s="5"/>
      <c r="C96" s="7">
        <v>58</v>
      </c>
      <c r="D96" s="221"/>
      <c r="E96" s="7">
        <v>70</v>
      </c>
      <c r="F96" s="25" t="s">
        <v>179</v>
      </c>
      <c r="G96" s="209" t="s">
        <v>50</v>
      </c>
      <c r="H96" s="210"/>
      <c r="I96" s="210"/>
      <c r="J96" s="211"/>
      <c r="K96" s="49" t="s">
        <v>212</v>
      </c>
      <c r="L96" s="81" t="s">
        <v>34</v>
      </c>
      <c r="M96" s="158">
        <f>IF((M24-M92)*(M26-M95)=0,0,((M24-M92)-(M26-M95))/(LN((M24-M92)/(M26-M95))))</f>
        <v>0</v>
      </c>
      <c r="N96" s="158">
        <f>IF((N24-N92)*(N26-N95)=0,0,((N24-N92)-(N26-N95))/(LN((N24-N92)/(N26-N95))))</f>
        <v>0</v>
      </c>
      <c r="O96" s="158">
        <f>IF((O24-O92)*(O26-O95)=0,0,((O24-O92)-(O26-O95))/(LN((O24-O92)/(O26-O95))))</f>
        <v>0</v>
      </c>
      <c r="P96" s="158">
        <f>IF((P24-P92)*(P26-P95)=0,0,((P24-P92)-(P26-P95))/(LN((P24-P92)/(P26-P95))))</f>
        <v>0</v>
      </c>
    </row>
    <row r="97" spans="1:16" s="24" customFormat="1" ht="18" customHeight="1" x14ac:dyDescent="0.25">
      <c r="A97" s="6"/>
      <c r="B97" s="5"/>
      <c r="C97" s="5">
        <v>59</v>
      </c>
      <c r="D97" s="221"/>
      <c r="E97" s="5">
        <v>71</v>
      </c>
      <c r="F97" s="57" t="s">
        <v>180</v>
      </c>
      <c r="G97" s="242" t="s">
        <v>51</v>
      </c>
      <c r="H97" s="243"/>
      <c r="I97" s="243"/>
      <c r="J97" s="244"/>
      <c r="K97" s="16" t="s">
        <v>123</v>
      </c>
      <c r="L97" s="73" t="s">
        <v>181</v>
      </c>
      <c r="M97" s="159">
        <f xml:space="preserve"> IF(M96=0,0,(0.243*M76*M32)/M96)</f>
        <v>0</v>
      </c>
      <c r="N97" s="159">
        <f xml:space="preserve"> IF(N96=0,0,(0.243*N76*N32)/N96)</f>
        <v>0</v>
      </c>
      <c r="O97" s="159">
        <f xml:space="preserve"> IF(O96=0,0,(0.243*O76*O32)/O96)</f>
        <v>0</v>
      </c>
      <c r="P97" s="159">
        <f xml:space="preserve"> IF(P96=0,0,(0.243*P76*P32)/P96)</f>
        <v>0</v>
      </c>
    </row>
    <row r="98" spans="1:16" s="24" customFormat="1" ht="39.75" customHeight="1" x14ac:dyDescent="0.25">
      <c r="A98" s="6"/>
      <c r="B98" s="5"/>
      <c r="C98" s="5">
        <v>60</v>
      </c>
      <c r="D98" s="221"/>
      <c r="E98" s="5">
        <v>72</v>
      </c>
      <c r="F98" s="57"/>
      <c r="G98" s="206" t="s">
        <v>228</v>
      </c>
      <c r="H98" s="210"/>
      <c r="I98" s="210"/>
      <c r="J98" s="210"/>
      <c r="K98" s="211"/>
      <c r="L98" s="85" t="s">
        <v>55</v>
      </c>
      <c r="M98" s="95"/>
      <c r="N98" s="87"/>
      <c r="O98" s="87"/>
      <c r="P98" s="87"/>
    </row>
    <row r="99" spans="1:16" s="24" customFormat="1" ht="50.25" customHeight="1" x14ac:dyDescent="0.25">
      <c r="A99" s="6"/>
      <c r="B99" s="5"/>
      <c r="C99" s="5">
        <v>61</v>
      </c>
      <c r="D99" s="221"/>
      <c r="E99" s="5">
        <v>73</v>
      </c>
      <c r="F99" s="57" t="s">
        <v>171</v>
      </c>
      <c r="G99" s="209" t="s">
        <v>229</v>
      </c>
      <c r="H99" s="210"/>
      <c r="I99" s="210"/>
      <c r="J99" s="211"/>
      <c r="K99" s="16"/>
      <c r="L99" s="75"/>
      <c r="M99" s="131"/>
      <c r="N99" s="87"/>
      <c r="O99" s="87"/>
      <c r="P99" s="87"/>
    </row>
    <row r="100" spans="1:16" s="24" customFormat="1" x14ac:dyDescent="0.25">
      <c r="A100" s="252"/>
      <c r="B100" s="215"/>
      <c r="C100" s="215">
        <v>62</v>
      </c>
      <c r="D100" s="221"/>
      <c r="E100" s="215">
        <v>74</v>
      </c>
      <c r="F100" s="227"/>
      <c r="G100" s="217" t="s">
        <v>240</v>
      </c>
      <c r="H100" s="218"/>
      <c r="I100" s="218"/>
      <c r="J100" s="218"/>
      <c r="K100" s="219"/>
      <c r="L100" s="81"/>
      <c r="M100" s="204"/>
      <c r="N100" s="204"/>
      <c r="O100" s="204"/>
      <c r="P100" s="204"/>
    </row>
    <row r="101" spans="1:16" s="24" customFormat="1" ht="30" customHeight="1" x14ac:dyDescent="0.25">
      <c r="A101" s="252"/>
      <c r="B101" s="215"/>
      <c r="C101" s="216"/>
      <c r="D101" s="223"/>
      <c r="E101" s="216"/>
      <c r="F101" s="227"/>
      <c r="G101" s="311" t="s">
        <v>83</v>
      </c>
      <c r="H101" s="312"/>
      <c r="I101" s="312"/>
      <c r="J101" s="312"/>
      <c r="K101" s="313"/>
      <c r="L101" s="84"/>
      <c r="M101" s="205"/>
      <c r="N101" s="205"/>
      <c r="O101" s="205"/>
      <c r="P101" s="205"/>
    </row>
    <row r="102" spans="1:16" s="24" customFormat="1" x14ac:dyDescent="0.25">
      <c r="A102" s="215">
        <v>15</v>
      </c>
      <c r="B102" s="215">
        <v>48</v>
      </c>
      <c r="C102" s="215">
        <v>63</v>
      </c>
      <c r="D102" s="224" t="s">
        <v>58</v>
      </c>
      <c r="E102" s="215">
        <v>75</v>
      </c>
      <c r="F102" s="227"/>
      <c r="G102" s="16" t="s">
        <v>52</v>
      </c>
      <c r="H102" s="16"/>
      <c r="I102" s="16"/>
      <c r="J102" s="16"/>
      <c r="K102" s="16"/>
      <c r="L102" s="73"/>
      <c r="M102" s="89"/>
      <c r="N102" s="89"/>
      <c r="O102" s="89"/>
      <c r="P102" s="89"/>
    </row>
    <row r="103" spans="1:16" s="24" customFormat="1" ht="27" customHeight="1" x14ac:dyDescent="0.25">
      <c r="A103" s="251"/>
      <c r="B103" s="216"/>
      <c r="C103" s="216"/>
      <c r="D103" s="225"/>
      <c r="E103" s="216"/>
      <c r="F103" s="227"/>
      <c r="G103" s="253"/>
      <c r="H103" s="254"/>
      <c r="I103" s="185" t="s">
        <v>53</v>
      </c>
      <c r="J103" s="185"/>
      <c r="K103" s="16" t="s">
        <v>118</v>
      </c>
      <c r="L103" s="75" t="s">
        <v>193</v>
      </c>
      <c r="M103" s="151" t="str">
        <f>IF(AND(M36=0,M35&gt;0),M35/$M17," ")</f>
        <v xml:space="preserve"> </v>
      </c>
      <c r="N103" s="151" t="str">
        <f t="shared" ref="N103:P103" si="21">IF(AND(N36=0,N35&gt;0),N35/$M17," ")</f>
        <v xml:space="preserve"> </v>
      </c>
      <c r="O103" s="151" t="str">
        <f t="shared" si="21"/>
        <v xml:space="preserve"> </v>
      </c>
      <c r="P103" s="151" t="str">
        <f t="shared" si="21"/>
        <v xml:space="preserve"> </v>
      </c>
    </row>
    <row r="104" spans="1:16" s="24" customFormat="1" ht="27" customHeight="1" x14ac:dyDescent="0.25">
      <c r="A104" s="251"/>
      <c r="B104" s="216"/>
      <c r="C104" s="216"/>
      <c r="D104" s="225"/>
      <c r="E104" s="216"/>
      <c r="F104" s="227"/>
      <c r="G104" s="255"/>
      <c r="H104" s="256"/>
      <c r="I104" s="185" t="s">
        <v>54</v>
      </c>
      <c r="J104" s="185"/>
      <c r="K104" s="16" t="s">
        <v>119</v>
      </c>
      <c r="L104" s="75" t="s">
        <v>193</v>
      </c>
      <c r="M104" s="151" t="str">
        <f>IF(AND(M35=0,M36&gt;0),M36/$M17," ")</f>
        <v xml:space="preserve"> </v>
      </c>
      <c r="N104" s="151" t="str">
        <f t="shared" ref="N104:P104" si="22">IF(AND(N35=0,N36&gt;0),N36/$M17," ")</f>
        <v xml:space="preserve"> </v>
      </c>
      <c r="O104" s="151" t="str">
        <f t="shared" si="22"/>
        <v xml:space="preserve"> </v>
      </c>
      <c r="P104" s="151" t="str">
        <f t="shared" si="22"/>
        <v xml:space="preserve"> </v>
      </c>
    </row>
    <row r="105" spans="1:16" s="24" customFormat="1" ht="39" customHeight="1" x14ac:dyDescent="0.25">
      <c r="A105" s="26">
        <v>16</v>
      </c>
      <c r="B105" s="26">
        <v>49</v>
      </c>
      <c r="C105" s="5">
        <v>64</v>
      </c>
      <c r="D105" s="226"/>
      <c r="E105" s="5">
        <v>76</v>
      </c>
      <c r="F105" s="57"/>
      <c r="G105" s="209" t="s">
        <v>230</v>
      </c>
      <c r="H105" s="210"/>
      <c r="I105" s="210"/>
      <c r="J105" s="210"/>
      <c r="K105" s="211"/>
      <c r="L105" s="85" t="s">
        <v>55</v>
      </c>
      <c r="M105" s="87"/>
      <c r="N105" s="87"/>
      <c r="O105" s="87"/>
      <c r="P105" s="87"/>
    </row>
    <row r="106" spans="1:16" x14ac:dyDescent="0.25">
      <c r="A106" s="4" t="s">
        <v>213</v>
      </c>
      <c r="G106" s="41"/>
      <c r="H106" s="41"/>
      <c r="I106" s="41"/>
      <c r="J106" s="41"/>
    </row>
    <row r="107" spans="1:16" x14ac:dyDescent="0.25">
      <c r="G107" s="41"/>
      <c r="H107" s="41"/>
      <c r="I107" s="41"/>
      <c r="J107" s="41"/>
    </row>
    <row r="108" spans="1:16" x14ac:dyDescent="0.25">
      <c r="G108" s="41"/>
      <c r="H108" s="41"/>
      <c r="I108" s="41"/>
      <c r="J108" s="41"/>
    </row>
    <row r="109" spans="1:16" x14ac:dyDescent="0.25">
      <c r="G109" s="41"/>
      <c r="H109" s="41"/>
      <c r="I109" s="41"/>
      <c r="J109" s="41"/>
    </row>
    <row r="110" spans="1:16" x14ac:dyDescent="0.25">
      <c r="G110" s="41"/>
      <c r="H110" s="41"/>
      <c r="I110" s="41"/>
      <c r="J110" s="41"/>
    </row>
    <row r="111" spans="1:16" x14ac:dyDescent="0.25">
      <c r="G111" s="41"/>
      <c r="H111" s="41"/>
      <c r="I111" s="41"/>
      <c r="J111" s="41"/>
    </row>
    <row r="112" spans="1:16" x14ac:dyDescent="0.25">
      <c r="G112" s="41"/>
      <c r="H112" s="41"/>
      <c r="I112" s="41"/>
      <c r="J112" s="41"/>
    </row>
    <row r="113" spans="7:10" x14ac:dyDescent="0.25">
      <c r="G113" s="41"/>
      <c r="H113" s="41"/>
      <c r="I113" s="41"/>
      <c r="J113" s="41"/>
    </row>
    <row r="114" spans="7:10" x14ac:dyDescent="0.25">
      <c r="G114" s="41"/>
      <c r="H114" s="41"/>
      <c r="I114" s="41"/>
      <c r="J114" s="41"/>
    </row>
    <row r="115" spans="7:10" x14ac:dyDescent="0.25">
      <c r="G115" s="41"/>
      <c r="H115" s="41"/>
      <c r="I115" s="41"/>
      <c r="J115" s="41"/>
    </row>
    <row r="116" spans="7:10" x14ac:dyDescent="0.25">
      <c r="G116" s="41"/>
      <c r="H116" s="41"/>
      <c r="I116" s="41"/>
      <c r="J116" s="41"/>
    </row>
    <row r="117" spans="7:10" x14ac:dyDescent="0.25">
      <c r="G117" s="41"/>
      <c r="H117" s="41"/>
      <c r="I117" s="41"/>
      <c r="J117" s="41"/>
    </row>
    <row r="118" spans="7:10" x14ac:dyDescent="0.25">
      <c r="G118" s="41"/>
      <c r="H118" s="41"/>
      <c r="I118" s="41"/>
      <c r="J118" s="41"/>
    </row>
    <row r="119" spans="7:10" x14ac:dyDescent="0.25">
      <c r="G119" s="41"/>
      <c r="H119" s="41"/>
      <c r="I119" s="41"/>
      <c r="J119" s="41"/>
    </row>
  </sheetData>
  <mergeCells count="143">
    <mergeCell ref="C10:C11"/>
    <mergeCell ref="G18:J18"/>
    <mergeCell ref="G19:J19"/>
    <mergeCell ref="G36:J36"/>
    <mergeCell ref="G37:J37"/>
    <mergeCell ref="G80:J80"/>
    <mergeCell ref="G82:J82"/>
    <mergeCell ref="N100:N101"/>
    <mergeCell ref="G90:J90"/>
    <mergeCell ref="G98:K98"/>
    <mergeCell ref="G101:K101"/>
    <mergeCell ref="E64:E65"/>
    <mergeCell ref="C64:C65"/>
    <mergeCell ref="K9:K11"/>
    <mergeCell ref="G29:J29"/>
    <mergeCell ref="G30:J30"/>
    <mergeCell ref="G31:J31"/>
    <mergeCell ref="G32:J32"/>
    <mergeCell ref="G33:J33"/>
    <mergeCell ref="G34:J34"/>
    <mergeCell ref="G21:J21"/>
    <mergeCell ref="G22:J22"/>
    <mergeCell ref="G23:J23"/>
    <mergeCell ref="G24:J24"/>
    <mergeCell ref="O100:O101"/>
    <mergeCell ref="P100:P101"/>
    <mergeCell ref="H42:J42"/>
    <mergeCell ref="A1:P2"/>
    <mergeCell ref="M9:M11"/>
    <mergeCell ref="G20:J20"/>
    <mergeCell ref="N12:P19"/>
    <mergeCell ref="A6:C8"/>
    <mergeCell ref="L9:L11"/>
    <mergeCell ref="D9:D11"/>
    <mergeCell ref="E9:E11"/>
    <mergeCell ref="F9:F11"/>
    <mergeCell ref="G9:J11"/>
    <mergeCell ref="D8:L8"/>
    <mergeCell ref="G12:J12"/>
    <mergeCell ref="H40:J40"/>
    <mergeCell ref="B9:C9"/>
    <mergeCell ref="A9:A11"/>
    <mergeCell ref="B10:B11"/>
    <mergeCell ref="A90:A91"/>
    <mergeCell ref="C85:C89"/>
    <mergeCell ref="B85:B89"/>
    <mergeCell ref="A85:A89"/>
    <mergeCell ref="G85:J85"/>
    <mergeCell ref="C102:C104"/>
    <mergeCell ref="B102:B104"/>
    <mergeCell ref="A102:A104"/>
    <mergeCell ref="A100:A101"/>
    <mergeCell ref="I103:J103"/>
    <mergeCell ref="B100:B101"/>
    <mergeCell ref="C100:C101"/>
    <mergeCell ref="A66:A67"/>
    <mergeCell ref="G69:K69"/>
    <mergeCell ref="G73:J73"/>
    <mergeCell ref="G70:J70"/>
    <mergeCell ref="G68:J68"/>
    <mergeCell ref="G72:J72"/>
    <mergeCell ref="G71:J71"/>
    <mergeCell ref="I104:J104"/>
    <mergeCell ref="G103:H104"/>
    <mergeCell ref="E100:E101"/>
    <mergeCell ref="G93:J93"/>
    <mergeCell ref="G95:J95"/>
    <mergeCell ref="G96:J96"/>
    <mergeCell ref="G97:J97"/>
    <mergeCell ref="G99:J99"/>
    <mergeCell ref="A64:A65"/>
    <mergeCell ref="F66:F67"/>
    <mergeCell ref="E66:E67"/>
    <mergeCell ref="C66:C67"/>
    <mergeCell ref="B66:B67"/>
    <mergeCell ref="G65:J65"/>
    <mergeCell ref="G64:J64"/>
    <mergeCell ref="G66:J66"/>
    <mergeCell ref="G67:K67"/>
    <mergeCell ref="G105:K105"/>
    <mergeCell ref="D37:D101"/>
    <mergeCell ref="D102:D105"/>
    <mergeCell ref="E102:E104"/>
    <mergeCell ref="F102:F104"/>
    <mergeCell ref="F100:F101"/>
    <mergeCell ref="G47:K47"/>
    <mergeCell ref="G63:J63"/>
    <mergeCell ref="G53:J53"/>
    <mergeCell ref="G48:J48"/>
    <mergeCell ref="G55:J55"/>
    <mergeCell ref="G58:J58"/>
    <mergeCell ref="G59:J59"/>
    <mergeCell ref="G60:J60"/>
    <mergeCell ref="G62:J62"/>
    <mergeCell ref="G57:J57"/>
    <mergeCell ref="G83:J83"/>
    <mergeCell ref="G74:K74"/>
    <mergeCell ref="G75:K75"/>
    <mergeCell ref="G76:J76"/>
    <mergeCell ref="G77:J77"/>
    <mergeCell ref="G78:J78"/>
    <mergeCell ref="G92:J92"/>
    <mergeCell ref="G25:J25"/>
    <mergeCell ref="G27:J27"/>
    <mergeCell ref="G26:J26"/>
    <mergeCell ref="G35:J35"/>
    <mergeCell ref="C90:C91"/>
    <mergeCell ref="B90:B91"/>
    <mergeCell ref="M100:M101"/>
    <mergeCell ref="G91:K91"/>
    <mergeCell ref="G89:K89"/>
    <mergeCell ref="G88:K88"/>
    <mergeCell ref="G87:K87"/>
    <mergeCell ref="G86:K86"/>
    <mergeCell ref="G79:J79"/>
    <mergeCell ref="G84:J84"/>
    <mergeCell ref="B64:B65"/>
    <mergeCell ref="G94:K94"/>
    <mergeCell ref="G100:K100"/>
    <mergeCell ref="M6:P7"/>
    <mergeCell ref="M8:O8"/>
    <mergeCell ref="A4:C4"/>
    <mergeCell ref="D4:H4"/>
    <mergeCell ref="H41:J41"/>
    <mergeCell ref="G46:J46"/>
    <mergeCell ref="J6:L6"/>
    <mergeCell ref="D6:F6"/>
    <mergeCell ref="D7:F7"/>
    <mergeCell ref="G6:H6"/>
    <mergeCell ref="G7:L7"/>
    <mergeCell ref="G28:J28"/>
    <mergeCell ref="D12:D17"/>
    <mergeCell ref="G45:K45"/>
    <mergeCell ref="H43:J43"/>
    <mergeCell ref="H44:J44"/>
    <mergeCell ref="G13:J13"/>
    <mergeCell ref="G14:J14"/>
    <mergeCell ref="G15:J15"/>
    <mergeCell ref="G17:J17"/>
    <mergeCell ref="G16:J16"/>
    <mergeCell ref="D21:D36"/>
    <mergeCell ref="G38:J38"/>
    <mergeCell ref="G39:J39"/>
  </mergeCells>
  <dataValidations disablePrompts="1" count="2">
    <dataValidation type="list" allowBlank="1" showInputMessage="1" showErrorMessage="1" sqref="J6:L6" xr:uid="{00000000-0002-0000-0000-000000000000}">
      <formula1>"Choose,Single Tube Steam,Thermal Counterflow* Cold Water,Thermal Counterflow Hot Water,Other"</formula1>
    </dataValidation>
    <dataValidation type="list" allowBlank="1" showInputMessage="1" showErrorMessage="1" sqref="M8:O8" xr:uid="{00000000-0002-0000-0000-000001000000}">
      <formula1>"Choose Surface Condition ,Steam Coils, Dry Surface, Fully Wetted"</formula1>
    </dataValidation>
  </dataValidations>
  <pageMargins left="0.25" right="0.25" top="0.75" bottom="0.75" header="0.3" footer="0.3"/>
  <pageSetup orientation="landscape" horizontalDpi="300" verticalDpi="300" r:id="rId1"/>
  <headerFooter>
    <oddFooter>&amp;LPage &amp;P of &amp;N&amp;RForm 410-2 (IP Units)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3:H17"/>
  <sheetViews>
    <sheetView workbookViewId="0">
      <selection activeCell="H16" sqref="H16"/>
    </sheetView>
  </sheetViews>
  <sheetFormatPr defaultRowHeight="15" x14ac:dyDescent="0.25"/>
  <sheetData>
    <row r="13" spans="6:8" x14ac:dyDescent="0.25">
      <c r="F13">
        <f>36*PI()</f>
        <v>113.09733552923255</v>
      </c>
    </row>
    <row r="14" spans="6:8" x14ac:dyDescent="0.25">
      <c r="F14">
        <f>F13/1000000</f>
        <v>1.1309733552923255E-4</v>
      </c>
    </row>
    <row r="15" spans="6:8" x14ac:dyDescent="0.25">
      <c r="H15">
        <f>0.25^2</f>
        <v>6.25E-2</v>
      </c>
    </row>
    <row r="16" spans="6:8" x14ac:dyDescent="0.25">
      <c r="H16">
        <f>H15*PI()</f>
        <v>0.19634954084936207</v>
      </c>
    </row>
    <row r="17" spans="8:8" x14ac:dyDescent="0.25">
      <c r="H17">
        <f>H16/144</f>
        <v>1.3635384781205699E-3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410-2 (IP Units)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2012-06-09T13:00:58Z</cp:lastPrinted>
  <dcterms:created xsi:type="dcterms:W3CDTF">2011-06-24T19:43:20Z</dcterms:created>
  <dcterms:modified xsi:type="dcterms:W3CDTF">2023-04-20T15:12:26Z</dcterms:modified>
</cp:coreProperties>
</file>